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aydexltda-my.sharepoint.com/personal/ncisternas_rayensalud_com/Documents/REM 2025/REM SERIE P/SERIE P V1.1 2025/"/>
    </mc:Choice>
  </mc:AlternateContent>
  <xr:revisionPtr revIDLastSave="16" documentId="8_{5100BB9B-7DAB-4AC5-8DA5-4AA34195A339}" xr6:coauthVersionLast="47" xr6:coauthVersionMax="47" xr10:uidLastSave="{0827A628-F43D-4F99-AF83-950AE0915397}"/>
  <bookViews>
    <workbookView xWindow="-110" yWindow="-110" windowWidth="19420" windowHeight="10300" activeTab="3" xr2:uid="{51D792F2-8A0E-4BD9-AE3E-5C4BE53EAD07}"/>
  </bookViews>
  <sheets>
    <sheet name="P01" sheetId="1" r:id="rId1"/>
    <sheet name="P02" sheetId="2" r:id="rId2"/>
    <sheet name="P03" sheetId="3" r:id="rId3"/>
    <sheet name="P04" sheetId="4" r:id="rId4"/>
    <sheet name="P05" sheetId="5" r:id="rId5"/>
    <sheet name="P06" sheetId="6" r:id="rId6"/>
    <sheet name="P07" sheetId="7" r:id="rId7"/>
    <sheet name="P09" sheetId="8" r:id="rId8"/>
    <sheet name="P11" sheetId="9" r:id="rId9"/>
    <sheet name="P12" sheetId="10" r:id="rId10"/>
    <sheet name="P13" sheetId="11" r:id="rId11"/>
    <sheet name="Control Version " sheetId="12"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6" l="1"/>
  <c r="D126" i="6"/>
  <c r="E125" i="6"/>
  <c r="D125" i="6"/>
  <c r="CW120" i="6"/>
  <c r="CP120" i="6"/>
  <c r="CJ120" i="6"/>
  <c r="CB120" i="6"/>
  <c r="CA120" i="6"/>
  <c r="E120" i="6"/>
  <c r="CS120" i="6" s="1"/>
  <c r="D120" i="6"/>
  <c r="CE120" i="6" s="1"/>
  <c r="C120" i="6"/>
  <c r="CI120" i="6" s="1"/>
  <c r="CW119" i="6"/>
  <c r="CQ119" i="6"/>
  <c r="CJ119" i="6"/>
  <c r="CB119" i="6"/>
  <c r="CA119" i="6"/>
  <c r="E119" i="6"/>
  <c r="CO119" i="6" s="1"/>
  <c r="D119" i="6"/>
  <c r="CQ118" i="6"/>
  <c r="CJ118" i="6"/>
  <c r="CB118" i="6"/>
  <c r="CA118" i="6"/>
  <c r="E118" i="6"/>
  <c r="CW118" i="6" s="1"/>
  <c r="D118" i="6"/>
  <c r="CW117" i="6"/>
  <c r="CS117" i="6"/>
  <c r="CQ117" i="6"/>
  <c r="CO117" i="6"/>
  <c r="CN117" i="6"/>
  <c r="CJ117" i="6"/>
  <c r="CF117" i="6"/>
  <c r="CD117" i="6"/>
  <c r="CB117" i="6"/>
  <c r="CA117" i="6"/>
  <c r="E117" i="6"/>
  <c r="D117" i="6"/>
  <c r="CW116" i="6"/>
  <c r="CQ116" i="6"/>
  <c r="CJ116" i="6"/>
  <c r="CB116" i="6"/>
  <c r="E116" i="6"/>
  <c r="CF116" i="6" s="1"/>
  <c r="D116" i="6"/>
  <c r="CW115" i="6"/>
  <c r="CP115" i="6"/>
  <c r="CJ115" i="6"/>
  <c r="CB115" i="6"/>
  <c r="CA115" i="6"/>
  <c r="E115" i="6"/>
  <c r="CQ115" i="6" s="1"/>
  <c r="D115" i="6"/>
  <c r="CX114" i="6"/>
  <c r="CW114" i="6"/>
  <c r="CQ114" i="6"/>
  <c r="CP114" i="6"/>
  <c r="CJ114" i="6"/>
  <c r="CI114" i="6"/>
  <c r="CD114" i="6"/>
  <c r="CB114" i="6"/>
  <c r="CA114" i="6"/>
  <c r="E114" i="6"/>
  <c r="CS114" i="6" s="1"/>
  <c r="D114" i="6"/>
  <c r="C114" i="6"/>
  <c r="CX113" i="6"/>
  <c r="CW113" i="6"/>
  <c r="CS113" i="6"/>
  <c r="CQ113" i="6"/>
  <c r="CP113" i="6"/>
  <c r="CK113" i="6"/>
  <c r="CJ113" i="6"/>
  <c r="CI113" i="6"/>
  <c r="CF113" i="6"/>
  <c r="CD113" i="6"/>
  <c r="CB113" i="6"/>
  <c r="CA113" i="6"/>
  <c r="E113" i="6"/>
  <c r="CO113" i="6" s="1"/>
  <c r="D113" i="6"/>
  <c r="C113" i="6"/>
  <c r="CS112" i="6"/>
  <c r="CQ112" i="6"/>
  <c r="CP112" i="6"/>
  <c r="CK112" i="6"/>
  <c r="CJ112" i="6"/>
  <c r="CF112" i="6"/>
  <c r="CD112" i="6"/>
  <c r="CB112" i="6"/>
  <c r="CA112" i="6"/>
  <c r="E112" i="6"/>
  <c r="CW112" i="6" s="1"/>
  <c r="D112" i="6"/>
  <c r="CW111" i="6"/>
  <c r="CS111" i="6"/>
  <c r="CQ111" i="6"/>
  <c r="CO111" i="6"/>
  <c r="CN111" i="6"/>
  <c r="CJ111" i="6"/>
  <c r="CF111" i="6"/>
  <c r="CD111" i="6"/>
  <c r="CB111" i="6"/>
  <c r="CA111" i="6"/>
  <c r="E111" i="6"/>
  <c r="D111" i="6"/>
  <c r="CX110" i="6"/>
  <c r="CW110" i="6"/>
  <c r="CQ110" i="6"/>
  <c r="CJ110" i="6"/>
  <c r="CB110" i="6"/>
  <c r="E110" i="6"/>
  <c r="CF110" i="6" s="1"/>
  <c r="D110" i="6"/>
  <c r="CW109" i="6"/>
  <c r="CJ109" i="6"/>
  <c r="CB109" i="6"/>
  <c r="CA109" i="6"/>
  <c r="E109" i="6"/>
  <c r="CQ109" i="6" s="1"/>
  <c r="D109" i="6"/>
  <c r="CX108" i="6"/>
  <c r="CW108" i="6"/>
  <c r="CR108" i="6"/>
  <c r="CK108" i="6"/>
  <c r="CJ108" i="6"/>
  <c r="CE108" i="6"/>
  <c r="CD108" i="6"/>
  <c r="CC108" i="6"/>
  <c r="E108" i="6"/>
  <c r="CQ108" i="6" s="1"/>
  <c r="D108" i="6"/>
  <c r="CP108" i="6" s="1"/>
  <c r="CP107" i="6"/>
  <c r="CK107" i="6"/>
  <c r="E107" i="6"/>
  <c r="D107" i="6"/>
  <c r="CW106" i="6"/>
  <c r="CF106" i="6"/>
  <c r="E106" i="6"/>
  <c r="D106" i="6"/>
  <c r="CW105" i="6"/>
  <c r="CS105" i="6"/>
  <c r="CQ105" i="6"/>
  <c r="CO105" i="6"/>
  <c r="CN105" i="6"/>
  <c r="CJ105" i="6"/>
  <c r="CF105" i="6"/>
  <c r="CD105" i="6"/>
  <c r="CC105" i="6"/>
  <c r="CB105" i="6"/>
  <c r="CA105" i="6"/>
  <c r="E105" i="6"/>
  <c r="D105" i="6"/>
  <c r="CS104" i="6"/>
  <c r="CK104" i="6"/>
  <c r="E104" i="6"/>
  <c r="D104" i="6"/>
  <c r="CN103" i="6"/>
  <c r="CD103" i="6"/>
  <c r="E103" i="6"/>
  <c r="D103" i="6"/>
  <c r="CR102" i="6"/>
  <c r="E102" i="6"/>
  <c r="D102" i="6"/>
  <c r="CS101" i="6"/>
  <c r="CR101" i="6"/>
  <c r="CO101" i="6"/>
  <c r="CN101" i="6"/>
  <c r="CK101" i="6"/>
  <c r="CD101" i="6"/>
  <c r="E101" i="6"/>
  <c r="D101" i="6"/>
  <c r="C101" i="6"/>
  <c r="CS100" i="6"/>
  <c r="CR100" i="6"/>
  <c r="CN100" i="6"/>
  <c r="CK100" i="6"/>
  <c r="CJ100" i="6"/>
  <c r="CI100" i="6"/>
  <c r="CC100" i="6"/>
  <c r="CA100" i="6"/>
  <c r="E100" i="6"/>
  <c r="CW100" i="6" s="1"/>
  <c r="D100" i="6"/>
  <c r="C100" i="6"/>
  <c r="CX99" i="6"/>
  <c r="CP99" i="6"/>
  <c r="CK99" i="6"/>
  <c r="CE99" i="6"/>
  <c r="CC99" i="6"/>
  <c r="E99" i="6"/>
  <c r="D99" i="6"/>
  <c r="CR99" i="6" s="1"/>
  <c r="CX98" i="6"/>
  <c r="CV98" i="6"/>
  <c r="CU98" i="6"/>
  <c r="CS98" i="6"/>
  <c r="CQ98" i="6"/>
  <c r="CN98" i="6"/>
  <c r="CK98" i="6"/>
  <c r="CJ98" i="6"/>
  <c r="CF98" i="6"/>
  <c r="CD98" i="6"/>
  <c r="CA98" i="6"/>
  <c r="E98" i="6"/>
  <c r="CW98" i="6" s="1"/>
  <c r="D98" i="6"/>
  <c r="C98" i="6"/>
  <c r="CS97" i="6"/>
  <c r="CR97" i="6"/>
  <c r="CQ97" i="6"/>
  <c r="CN97" i="6"/>
  <c r="CJ97" i="6"/>
  <c r="CF97" i="6"/>
  <c r="CE97" i="6"/>
  <c r="CD97" i="6"/>
  <c r="CC97" i="6"/>
  <c r="CA97" i="6"/>
  <c r="E97" i="6"/>
  <c r="CW97" i="6" s="1"/>
  <c r="D97" i="6"/>
  <c r="CX97" i="6" s="1"/>
  <c r="CS96" i="6"/>
  <c r="CQ96" i="6"/>
  <c r="CO96" i="6"/>
  <c r="CF96" i="6"/>
  <c r="CD96" i="6"/>
  <c r="CB96" i="6"/>
  <c r="CA96" i="6"/>
  <c r="E96" i="6"/>
  <c r="CW96" i="6" s="1"/>
  <c r="D96" i="6"/>
  <c r="CW95" i="6"/>
  <c r="CS95" i="6"/>
  <c r="CQ95" i="6"/>
  <c r="CO95" i="6"/>
  <c r="CN95" i="6"/>
  <c r="CJ95" i="6"/>
  <c r="CF95" i="6"/>
  <c r="CD95" i="6"/>
  <c r="CC95" i="6"/>
  <c r="CB95" i="6"/>
  <c r="CA95" i="6"/>
  <c r="E95" i="6"/>
  <c r="D95" i="6"/>
  <c r="CW94" i="6"/>
  <c r="CT94" i="6"/>
  <c r="CS94" i="6"/>
  <c r="CR94" i="6"/>
  <c r="CQ94" i="6"/>
  <c r="CP94" i="6"/>
  <c r="CH94" i="6"/>
  <c r="CF94" i="6"/>
  <c r="CE94" i="6"/>
  <c r="CD94" i="6"/>
  <c r="CC94" i="6"/>
  <c r="CB94" i="6"/>
  <c r="E94" i="6"/>
  <c r="CJ94" i="6" s="1"/>
  <c r="D94" i="6"/>
  <c r="C94" i="6" s="1"/>
  <c r="CI94" i="6" s="1"/>
  <c r="CX93" i="6"/>
  <c r="CW93" i="6"/>
  <c r="CS93" i="6"/>
  <c r="CO93" i="6"/>
  <c r="CK93" i="6"/>
  <c r="CF93" i="6"/>
  <c r="CD93" i="6"/>
  <c r="CB93" i="6"/>
  <c r="CA93" i="6"/>
  <c r="E93" i="6"/>
  <c r="CQ93" i="6" s="1"/>
  <c r="D93" i="6"/>
  <c r="CP93" i="6" s="1"/>
  <c r="CW92" i="6"/>
  <c r="CR92" i="6"/>
  <c r="CQ92" i="6"/>
  <c r="CO92" i="6"/>
  <c r="CF92" i="6"/>
  <c r="CD92" i="6"/>
  <c r="CC92" i="6"/>
  <c r="CB92" i="6"/>
  <c r="CA92" i="6"/>
  <c r="E92" i="6"/>
  <c r="CS92" i="6" s="1"/>
  <c r="D92" i="6"/>
  <c r="CW91" i="6"/>
  <c r="CS91" i="6"/>
  <c r="CQ91" i="6"/>
  <c r="CP91" i="6"/>
  <c r="CO91" i="6"/>
  <c r="CF91" i="6"/>
  <c r="CD91" i="6"/>
  <c r="CC91" i="6"/>
  <c r="CB91" i="6"/>
  <c r="CA91" i="6"/>
  <c r="E91" i="6"/>
  <c r="CN91" i="6" s="1"/>
  <c r="D91" i="6"/>
  <c r="CS90" i="6"/>
  <c r="CJ90" i="6"/>
  <c r="E90" i="6"/>
  <c r="CX89" i="6"/>
  <c r="CW89" i="6"/>
  <c r="CV89" i="6"/>
  <c r="CK89" i="6"/>
  <c r="CI89" i="6"/>
  <c r="CG89" i="6"/>
  <c r="CF89" i="6"/>
  <c r="CE89" i="6"/>
  <c r="E89" i="6"/>
  <c r="D89" i="6"/>
  <c r="C89" i="6"/>
  <c r="E88" i="6"/>
  <c r="D88" i="6"/>
  <c r="CW87" i="6"/>
  <c r="CJ87" i="6"/>
  <c r="E87" i="6"/>
  <c r="D87" i="6"/>
  <c r="CX86" i="6"/>
  <c r="CR86" i="6"/>
  <c r="CK86" i="6"/>
  <c r="CE86" i="6"/>
  <c r="CC86" i="6"/>
  <c r="E86" i="6"/>
  <c r="D86" i="6"/>
  <c r="CP86" i="6" s="1"/>
  <c r="CS85" i="6"/>
  <c r="CR85" i="6"/>
  <c r="CP85" i="6"/>
  <c r="CN85" i="6"/>
  <c r="CK85" i="6"/>
  <c r="CG85" i="6"/>
  <c r="CE85" i="6"/>
  <c r="CC85" i="6"/>
  <c r="E85" i="6"/>
  <c r="D85" i="6"/>
  <c r="CX85" i="6" s="1"/>
  <c r="C85" i="6"/>
  <c r="CX84" i="6"/>
  <c r="CS84" i="6"/>
  <c r="CQ84" i="6"/>
  <c r="CK84" i="6"/>
  <c r="CF84" i="6"/>
  <c r="CD84" i="6"/>
  <c r="E84" i="6"/>
  <c r="CW84" i="6" s="1"/>
  <c r="D84" i="6"/>
  <c r="CX83" i="6"/>
  <c r="CK83" i="6"/>
  <c r="CE83" i="6"/>
  <c r="E83" i="6"/>
  <c r="CA83" i="6" s="1"/>
  <c r="D83" i="6"/>
  <c r="CS82" i="6"/>
  <c r="CP82" i="6"/>
  <c r="CN82" i="6"/>
  <c r="CK82" i="6"/>
  <c r="CJ82" i="6"/>
  <c r="CF82" i="6"/>
  <c r="E82" i="6"/>
  <c r="D82" i="6"/>
  <c r="C82" i="6"/>
  <c r="CT82" i="6" s="1"/>
  <c r="CX81" i="6"/>
  <c r="CP81" i="6"/>
  <c r="CK81" i="6"/>
  <c r="CJ81" i="6"/>
  <c r="CC81" i="6"/>
  <c r="E81" i="6"/>
  <c r="D81" i="6"/>
  <c r="CR81" i="6" s="1"/>
  <c r="CX80" i="6"/>
  <c r="CR80" i="6"/>
  <c r="CK80" i="6"/>
  <c r="CE80" i="6"/>
  <c r="CC80" i="6"/>
  <c r="E80" i="6"/>
  <c r="D80" i="6"/>
  <c r="CP80" i="6" s="1"/>
  <c r="CS79" i="6"/>
  <c r="CR79" i="6"/>
  <c r="CP79" i="6"/>
  <c r="CN79" i="6"/>
  <c r="CK79" i="6"/>
  <c r="CI79" i="6"/>
  <c r="CG79" i="6"/>
  <c r="CE79" i="6"/>
  <c r="CC79" i="6"/>
  <c r="E79" i="6"/>
  <c r="D79" i="6"/>
  <c r="CX79" i="6" s="1"/>
  <c r="C79" i="6"/>
  <c r="CX78" i="6"/>
  <c r="CS78" i="6"/>
  <c r="CQ78" i="6"/>
  <c r="CO78" i="6"/>
  <c r="CG78" i="6"/>
  <c r="CF78" i="6"/>
  <c r="CD78" i="6"/>
  <c r="E78" i="6"/>
  <c r="D78" i="6"/>
  <c r="C78" i="6"/>
  <c r="CX77" i="6"/>
  <c r="CW77" i="6"/>
  <c r="CS77" i="6"/>
  <c r="CN77" i="6"/>
  <c r="CJ77" i="6"/>
  <c r="CF77" i="6"/>
  <c r="CE77" i="6"/>
  <c r="CD77" i="6"/>
  <c r="CB77" i="6"/>
  <c r="E77" i="6"/>
  <c r="D77" i="6"/>
  <c r="E75" i="6"/>
  <c r="CW75" i="6" s="1"/>
  <c r="D75" i="6"/>
  <c r="CX75" i="6" s="1"/>
  <c r="CO69" i="6"/>
  <c r="CB69" i="6"/>
  <c r="E69" i="6"/>
  <c r="D69" i="6"/>
  <c r="C69" i="6"/>
  <c r="E64" i="6"/>
  <c r="D64" i="6"/>
  <c r="E63" i="6"/>
  <c r="D63" i="6"/>
  <c r="CW58" i="6"/>
  <c r="CT58" i="6"/>
  <c r="CR58" i="6"/>
  <c r="CN58" i="6"/>
  <c r="CK58" i="6"/>
  <c r="CJ58" i="6"/>
  <c r="CI58" i="6"/>
  <c r="CF58" i="6"/>
  <c r="CD58" i="6"/>
  <c r="CC58" i="6"/>
  <c r="CB58" i="6"/>
  <c r="CA58" i="6"/>
  <c r="E58" i="6"/>
  <c r="CS58" i="6" s="1"/>
  <c r="D58" i="6"/>
  <c r="C58" i="6"/>
  <c r="CX57" i="6"/>
  <c r="CP57" i="6"/>
  <c r="CO57" i="6"/>
  <c r="CN57" i="6"/>
  <c r="E57" i="6"/>
  <c r="D57" i="6"/>
  <c r="CX56" i="6"/>
  <c r="CQ56" i="6"/>
  <c r="CP56" i="6"/>
  <c r="E56" i="6"/>
  <c r="D56" i="6"/>
  <c r="CW55" i="6"/>
  <c r="CS55" i="6"/>
  <c r="CQ55" i="6"/>
  <c r="CO55" i="6"/>
  <c r="CN55" i="6"/>
  <c r="CJ55" i="6"/>
  <c r="CF55" i="6"/>
  <c r="CD55" i="6"/>
  <c r="CA55" i="6"/>
  <c r="E55" i="6"/>
  <c r="D55" i="6"/>
  <c r="CW54" i="6"/>
  <c r="CN54" i="6"/>
  <c r="CK54" i="6"/>
  <c r="CJ54" i="6"/>
  <c r="CF54" i="6"/>
  <c r="CE54" i="6"/>
  <c r="CD54" i="6"/>
  <c r="E54" i="6"/>
  <c r="D54" i="6"/>
  <c r="CX54" i="6" s="1"/>
  <c r="C54" i="6"/>
  <c r="CV54" i="6" s="1"/>
  <c r="CX53" i="6"/>
  <c r="CW53" i="6"/>
  <c r="CS53" i="6"/>
  <c r="CP53" i="6"/>
  <c r="CJ53" i="6"/>
  <c r="CF53" i="6"/>
  <c r="CE53" i="6"/>
  <c r="CD53" i="6"/>
  <c r="CA53" i="6"/>
  <c r="E53" i="6"/>
  <c r="CQ53" i="6" s="1"/>
  <c r="D53" i="6"/>
  <c r="CK53" i="6" s="1"/>
  <c r="CP52" i="6"/>
  <c r="E52" i="6"/>
  <c r="CW52" i="6" s="1"/>
  <c r="D52" i="6"/>
  <c r="CS51" i="6"/>
  <c r="CN51" i="6"/>
  <c r="CJ51" i="6"/>
  <c r="CD51" i="6"/>
  <c r="CA51" i="6"/>
  <c r="E51" i="6"/>
  <c r="CQ51" i="6" s="1"/>
  <c r="D51" i="6"/>
  <c r="CK51" i="6" s="1"/>
  <c r="C51" i="6"/>
  <c r="CX50" i="6"/>
  <c r="CR50" i="6"/>
  <c r="CP50" i="6"/>
  <c r="CK50" i="6"/>
  <c r="CJ50" i="6"/>
  <c r="CA50" i="6"/>
  <c r="E50" i="6"/>
  <c r="CN50" i="6" s="1"/>
  <c r="D50" i="6"/>
  <c r="CW49" i="6"/>
  <c r="CS49" i="6"/>
  <c r="CQ49" i="6"/>
  <c r="CP49" i="6"/>
  <c r="CO49" i="6"/>
  <c r="CN49" i="6"/>
  <c r="CJ49" i="6"/>
  <c r="CF49" i="6"/>
  <c r="CD49" i="6"/>
  <c r="CA49" i="6"/>
  <c r="E49" i="6"/>
  <c r="D49" i="6"/>
  <c r="CK49" i="6" s="1"/>
  <c r="CW48" i="6"/>
  <c r="CN48" i="6"/>
  <c r="CJ48" i="6"/>
  <c r="CF48" i="6"/>
  <c r="E48" i="6"/>
  <c r="D48" i="6"/>
  <c r="C48" i="6" s="1"/>
  <c r="CX47" i="6"/>
  <c r="CW47" i="6"/>
  <c r="CU47" i="6"/>
  <c r="CT47" i="6"/>
  <c r="CS47" i="6"/>
  <c r="CK47" i="6"/>
  <c r="CJ47" i="6"/>
  <c r="CI47" i="6"/>
  <c r="CH47" i="6"/>
  <c r="CF47" i="6"/>
  <c r="CE47" i="6"/>
  <c r="CD47" i="6"/>
  <c r="CA47" i="6"/>
  <c r="E47" i="6"/>
  <c r="CQ47" i="6" s="1"/>
  <c r="D47" i="6"/>
  <c r="C47" i="6"/>
  <c r="CB47" i="6" s="1"/>
  <c r="CX46" i="6"/>
  <c r="CW46" i="6"/>
  <c r="CQ46" i="6"/>
  <c r="CK46" i="6"/>
  <c r="CJ46" i="6"/>
  <c r="CC46" i="6"/>
  <c r="E46" i="6"/>
  <c r="CF46" i="6" s="1"/>
  <c r="D46" i="6"/>
  <c r="CP46" i="6" s="1"/>
  <c r="E45" i="6"/>
  <c r="CS45" i="6" s="1"/>
  <c r="D45" i="6"/>
  <c r="CS44" i="6"/>
  <c r="CR44" i="6"/>
  <c r="CQ44" i="6"/>
  <c r="CI44" i="6"/>
  <c r="CF44" i="6"/>
  <c r="E44" i="6"/>
  <c r="CD44" i="6" s="1"/>
  <c r="D44" i="6"/>
  <c r="C44" i="6"/>
  <c r="CV44" i="6" s="1"/>
  <c r="CW43" i="6"/>
  <c r="CT43" i="6"/>
  <c r="CS43" i="6"/>
  <c r="CR43" i="6"/>
  <c r="CP43" i="6"/>
  <c r="CK43" i="6"/>
  <c r="CE43" i="6"/>
  <c r="CD43" i="6"/>
  <c r="CC43" i="6"/>
  <c r="E43" i="6"/>
  <c r="CJ43" i="6" s="1"/>
  <c r="D43" i="6"/>
  <c r="CX43" i="6" s="1"/>
  <c r="C43" i="6"/>
  <c r="CI43" i="6" s="1"/>
  <c r="CU42" i="6"/>
  <c r="CT42" i="6"/>
  <c r="CS42" i="6"/>
  <c r="CK42" i="6"/>
  <c r="CJ42" i="6"/>
  <c r="CF42" i="6"/>
  <c r="CE42" i="6"/>
  <c r="CD42" i="6"/>
  <c r="E42" i="6"/>
  <c r="CN42" i="6" s="1"/>
  <c r="D42" i="6"/>
  <c r="C42" i="6"/>
  <c r="CU41" i="6"/>
  <c r="CT41" i="6"/>
  <c r="CS41" i="6"/>
  <c r="CK41" i="6"/>
  <c r="CJ41" i="6"/>
  <c r="CF41" i="6"/>
  <c r="CE41" i="6"/>
  <c r="CD41" i="6"/>
  <c r="E41" i="6"/>
  <c r="CQ41" i="6" s="1"/>
  <c r="D41" i="6"/>
  <c r="C41" i="6"/>
  <c r="CU40" i="6"/>
  <c r="CT40" i="6"/>
  <c r="CS40" i="6"/>
  <c r="CK40" i="6"/>
  <c r="CJ40" i="6"/>
  <c r="CF40" i="6"/>
  <c r="CE40" i="6"/>
  <c r="CC40" i="6"/>
  <c r="E40" i="6"/>
  <c r="CD40" i="6" s="1"/>
  <c r="D40" i="6"/>
  <c r="C40" i="6"/>
  <c r="CS39" i="6"/>
  <c r="CR39" i="6"/>
  <c r="CK39" i="6"/>
  <c r="CJ39" i="6"/>
  <c r="CD39" i="6"/>
  <c r="E39" i="6"/>
  <c r="CF39" i="6" s="1"/>
  <c r="D39" i="6"/>
  <c r="CX38" i="6"/>
  <c r="CW38" i="6"/>
  <c r="CS38" i="6"/>
  <c r="CR38" i="6"/>
  <c r="CK38" i="6"/>
  <c r="CJ38" i="6"/>
  <c r="CI38" i="6"/>
  <c r="CF38" i="6"/>
  <c r="CE38" i="6"/>
  <c r="CD38" i="6"/>
  <c r="CC38" i="6"/>
  <c r="CA38" i="6"/>
  <c r="E38" i="6"/>
  <c r="CQ38" i="6" s="1"/>
  <c r="D38" i="6"/>
  <c r="CP38" i="6" s="1"/>
  <c r="C38" i="6"/>
  <c r="CT38" i="6" s="1"/>
  <c r="CX37" i="6"/>
  <c r="CR37" i="6"/>
  <c r="CP37" i="6"/>
  <c r="CE37" i="6"/>
  <c r="CC37" i="6"/>
  <c r="E37" i="6"/>
  <c r="CW37" i="6" s="1"/>
  <c r="D37" i="6"/>
  <c r="CK37" i="6" s="1"/>
  <c r="E36" i="6"/>
  <c r="CW36" i="6" s="1"/>
  <c r="D36" i="6"/>
  <c r="CE36" i="6" s="1"/>
  <c r="CS35" i="6"/>
  <c r="CR35" i="6"/>
  <c r="CQ35" i="6"/>
  <c r="CK35" i="6"/>
  <c r="CJ35" i="6"/>
  <c r="CD35" i="6"/>
  <c r="CC35" i="6"/>
  <c r="CA35" i="6"/>
  <c r="E35" i="6"/>
  <c r="CW35" i="6" s="1"/>
  <c r="D35" i="6"/>
  <c r="CX35" i="6" s="1"/>
  <c r="C35" i="6"/>
  <c r="CX34" i="6"/>
  <c r="CW34" i="6"/>
  <c r="CR34" i="6"/>
  <c r="CQ34" i="6"/>
  <c r="CP34" i="6"/>
  <c r="CO34" i="6"/>
  <c r="CJ34" i="6"/>
  <c r="CG34" i="6"/>
  <c r="CC34" i="6"/>
  <c r="CB34" i="6"/>
  <c r="CA34" i="6"/>
  <c r="E34" i="6"/>
  <c r="CF34" i="6" s="1"/>
  <c r="D34" i="6"/>
  <c r="CE34" i="6" s="1"/>
  <c r="C34" i="6"/>
  <c r="CW33" i="6"/>
  <c r="CQ33" i="6"/>
  <c r="CP33" i="6"/>
  <c r="CO33" i="6"/>
  <c r="CJ33" i="6"/>
  <c r="CI33" i="6"/>
  <c r="CH33" i="6"/>
  <c r="CD33" i="6"/>
  <c r="CC33" i="6"/>
  <c r="CB33" i="6"/>
  <c r="CA33" i="6"/>
  <c r="E33" i="6"/>
  <c r="CF33" i="6" s="1"/>
  <c r="D33" i="6"/>
  <c r="C33" i="6"/>
  <c r="CS32" i="6"/>
  <c r="CR32" i="6"/>
  <c r="CN32" i="6"/>
  <c r="CK32" i="6"/>
  <c r="CJ32" i="6"/>
  <c r="CF32" i="6"/>
  <c r="CE32" i="6"/>
  <c r="E32" i="6"/>
  <c r="D32" i="6"/>
  <c r="CS31" i="6"/>
  <c r="CR31" i="6"/>
  <c r="CQ31" i="6"/>
  <c r="CP31" i="6"/>
  <c r="CO31" i="6"/>
  <c r="CN31" i="6"/>
  <c r="CF31" i="6"/>
  <c r="CE31" i="6"/>
  <c r="CD31" i="6"/>
  <c r="CC31" i="6"/>
  <c r="CA31" i="6"/>
  <c r="E31" i="6"/>
  <c r="CJ31" i="6" s="1"/>
  <c r="D31" i="6"/>
  <c r="CK31" i="6" s="1"/>
  <c r="CW30" i="6"/>
  <c r="CS30" i="6"/>
  <c r="CQ30" i="6"/>
  <c r="CJ30" i="6"/>
  <c r="CF30" i="6"/>
  <c r="CD30" i="6"/>
  <c r="CA30" i="6"/>
  <c r="E30" i="6"/>
  <c r="CO30" i="6" s="1"/>
  <c r="D30" i="6"/>
  <c r="CP30" i="6" s="1"/>
  <c r="C30" i="6"/>
  <c r="CB30" i="6" s="1"/>
  <c r="CX29" i="6"/>
  <c r="CS29" i="6"/>
  <c r="CK29" i="6"/>
  <c r="CD29" i="6"/>
  <c r="E29" i="6"/>
  <c r="CN29" i="6" s="1"/>
  <c r="D29" i="6"/>
  <c r="CR29" i="6" s="1"/>
  <c r="C29" i="6"/>
  <c r="CT29" i="6" s="1"/>
  <c r="E28" i="6"/>
  <c r="CF28" i="6" s="1"/>
  <c r="CR27" i="6"/>
  <c r="CP27" i="6"/>
  <c r="CK27" i="6"/>
  <c r="CF27" i="6"/>
  <c r="CE27" i="6"/>
  <c r="CD27" i="6"/>
  <c r="CC27" i="6"/>
  <c r="CA27" i="6"/>
  <c r="E27" i="6"/>
  <c r="D27" i="6"/>
  <c r="CX27" i="6" s="1"/>
  <c r="CW26" i="6"/>
  <c r="CS26" i="6"/>
  <c r="CR26" i="6"/>
  <c r="CQ26" i="6"/>
  <c r="CP26" i="6"/>
  <c r="CO26" i="6"/>
  <c r="CN26" i="6"/>
  <c r="CI26" i="6"/>
  <c r="CH26" i="6"/>
  <c r="CF26" i="6"/>
  <c r="CE26" i="6"/>
  <c r="CD26" i="6"/>
  <c r="CC26" i="6"/>
  <c r="CB26" i="6"/>
  <c r="CA26" i="6"/>
  <c r="E26" i="6"/>
  <c r="CJ26" i="6" s="1"/>
  <c r="D26" i="6"/>
  <c r="CK26" i="6" s="1"/>
  <c r="C26" i="6"/>
  <c r="CG26" i="6" s="1"/>
  <c r="CW25" i="6"/>
  <c r="CQ25" i="6"/>
  <c r="CJ25" i="6"/>
  <c r="CF25" i="6"/>
  <c r="E25" i="6"/>
  <c r="D25" i="6"/>
  <c r="CP25" i="6" s="1"/>
  <c r="C25" i="6"/>
  <c r="CB25" i="6" s="1"/>
  <c r="CX24" i="6"/>
  <c r="CK24" i="6"/>
  <c r="CE24" i="6"/>
  <c r="E24" i="6"/>
  <c r="D24" i="6"/>
  <c r="CQ23" i="6"/>
  <c r="CO23" i="6"/>
  <c r="CJ23" i="6"/>
  <c r="CA23" i="6"/>
  <c r="E23" i="6"/>
  <c r="CN23" i="6" s="1"/>
  <c r="D23" i="6"/>
  <c r="C23" i="6" s="1"/>
  <c r="CN22" i="6"/>
  <c r="E22" i="6"/>
  <c r="CF22" i="6" s="1"/>
  <c r="D22" i="6"/>
  <c r="CC22" i="6" s="1"/>
  <c r="CW21" i="6"/>
  <c r="CO21" i="6"/>
  <c r="CN21" i="6"/>
  <c r="CK21" i="6"/>
  <c r="CF21" i="6"/>
  <c r="CA21" i="6"/>
  <c r="E21" i="6"/>
  <c r="CS21" i="6" s="1"/>
  <c r="D21" i="6"/>
  <c r="CE21" i="6" s="1"/>
  <c r="C21" i="6"/>
  <c r="CB21" i="6" s="1"/>
  <c r="CP20" i="6"/>
  <c r="CK20" i="6"/>
  <c r="CC20" i="6"/>
  <c r="E20" i="6"/>
  <c r="CF20" i="6" s="1"/>
  <c r="D20" i="6"/>
  <c r="CE20" i="6" s="1"/>
  <c r="CS19" i="6"/>
  <c r="CR19" i="6"/>
  <c r="CQ19" i="6"/>
  <c r="CO19" i="6"/>
  <c r="CJ19" i="6"/>
  <c r="CE19" i="6"/>
  <c r="CD19" i="6"/>
  <c r="CA19" i="6"/>
  <c r="E19" i="6"/>
  <c r="CW19" i="6" s="1"/>
  <c r="D19" i="6"/>
  <c r="C19" i="6" s="1"/>
  <c r="CW18" i="6"/>
  <c r="CV18" i="6"/>
  <c r="CU18" i="6"/>
  <c r="CT18" i="6"/>
  <c r="CS18" i="6"/>
  <c r="CR18" i="6"/>
  <c r="CQ18" i="6"/>
  <c r="CP18" i="6"/>
  <c r="CO18" i="6"/>
  <c r="CN18" i="6"/>
  <c r="CJ18" i="6"/>
  <c r="CH18" i="6"/>
  <c r="CG18" i="6"/>
  <c r="CF18" i="6"/>
  <c r="CE18" i="6"/>
  <c r="CD18" i="6"/>
  <c r="CC18" i="6"/>
  <c r="AY18" i="6" s="1"/>
  <c r="CB18" i="6"/>
  <c r="CA18" i="6"/>
  <c r="E18" i="6"/>
  <c r="D18" i="6"/>
  <c r="CK18" i="6" s="1"/>
  <c r="C18" i="6"/>
  <c r="CI18" i="6" s="1"/>
  <c r="CW17" i="6"/>
  <c r="CV17" i="6"/>
  <c r="CS17" i="6"/>
  <c r="CR17" i="6"/>
  <c r="CQ17" i="6"/>
  <c r="CP17" i="6"/>
  <c r="CJ17" i="6"/>
  <c r="CH17" i="6"/>
  <c r="CF17" i="6"/>
  <c r="CE17" i="6"/>
  <c r="CD17" i="6"/>
  <c r="CC17" i="6"/>
  <c r="E17" i="6"/>
  <c r="CO17" i="6" s="1"/>
  <c r="D17" i="6"/>
  <c r="CK17" i="6" s="1"/>
  <c r="C17" i="6"/>
  <c r="CI17" i="6" s="1"/>
  <c r="CJ16" i="6"/>
  <c r="E16" i="6"/>
  <c r="CQ16" i="6" s="1"/>
  <c r="D16" i="6"/>
  <c r="CC16" i="6" s="1"/>
  <c r="CW15" i="6"/>
  <c r="CO15" i="6"/>
  <c r="CN15" i="6"/>
  <c r="CK15" i="6"/>
  <c r="CF15" i="6"/>
  <c r="CA15" i="6"/>
  <c r="E15" i="6"/>
  <c r="CS15" i="6" s="1"/>
  <c r="D15" i="6"/>
  <c r="CE15" i="6" s="1"/>
  <c r="C15" i="6"/>
  <c r="CB15" i="6" s="1"/>
  <c r="CP13" i="6"/>
  <c r="CK13" i="6"/>
  <c r="CC13" i="6"/>
  <c r="E13" i="6"/>
  <c r="CQ13" i="6" s="1"/>
  <c r="D13" i="6"/>
  <c r="CE13" i="6" s="1"/>
  <c r="CT48" i="6" l="1"/>
  <c r="CB48" i="6"/>
  <c r="CI48" i="6"/>
  <c r="CH48" i="6"/>
  <c r="CU48" i="6"/>
  <c r="CG48" i="6"/>
  <c r="CV48" i="6"/>
  <c r="CI19" i="6"/>
  <c r="CV19" i="6"/>
  <c r="CH19" i="6"/>
  <c r="CU19" i="6"/>
  <c r="CG19" i="6"/>
  <c r="CT19" i="6"/>
  <c r="CB19" i="6"/>
  <c r="CT23" i="6"/>
  <c r="CI23" i="6"/>
  <c r="CV23" i="6"/>
  <c r="CH23" i="6"/>
  <c r="CG23" i="6"/>
  <c r="CB23" i="6"/>
  <c r="AY23" i="6" s="1"/>
  <c r="CU23" i="6"/>
  <c r="CT15" i="6"/>
  <c r="CD16" i="6"/>
  <c r="CR16" i="6"/>
  <c r="CB17" i="6"/>
  <c r="CX19" i="6"/>
  <c r="CT21" i="6"/>
  <c r="CD22" i="6"/>
  <c r="CW22" i="6"/>
  <c r="CD24" i="6"/>
  <c r="CQ24" i="6"/>
  <c r="CS24" i="6"/>
  <c r="CS28" i="6"/>
  <c r="CN36" i="6"/>
  <c r="CP39" i="6"/>
  <c r="CX39" i="6"/>
  <c r="CW45" i="6"/>
  <c r="CW56" i="6"/>
  <c r="CD56" i="6"/>
  <c r="CS56" i="6"/>
  <c r="CA56" i="6"/>
  <c r="CO56" i="6"/>
  <c r="CN56" i="6"/>
  <c r="CJ56" i="6"/>
  <c r="CQ80" i="6"/>
  <c r="CB80" i="6"/>
  <c r="CO80" i="6"/>
  <c r="C80" i="6"/>
  <c r="CN80" i="6"/>
  <c r="CJ80" i="6"/>
  <c r="CD80" i="6"/>
  <c r="CW80" i="6"/>
  <c r="CJ83" i="6"/>
  <c r="C87" i="6"/>
  <c r="CX87" i="6"/>
  <c r="CR87" i="6"/>
  <c r="CP87" i="6"/>
  <c r="CK87" i="6"/>
  <c r="CE87" i="6"/>
  <c r="CC87" i="6"/>
  <c r="CU101" i="6"/>
  <c r="CG101" i="6"/>
  <c r="CI101" i="6"/>
  <c r="CH101" i="6"/>
  <c r="CV101" i="6"/>
  <c r="CT101" i="6"/>
  <c r="CX16" i="6"/>
  <c r="CU51" i="6"/>
  <c r="CG51" i="6"/>
  <c r="CB51" i="6"/>
  <c r="CI51" i="6"/>
  <c r="CH51" i="6"/>
  <c r="CV51" i="6"/>
  <c r="C13" i="6"/>
  <c r="CW13" i="6"/>
  <c r="CG15" i="6"/>
  <c r="CU15" i="6"/>
  <c r="CE16" i="6"/>
  <c r="CS16" i="6"/>
  <c r="CK19" i="6"/>
  <c r="AY19" i="6" s="1"/>
  <c r="C20" i="6"/>
  <c r="CW20" i="6"/>
  <c r="CG21" i="6"/>
  <c r="CU21" i="6"/>
  <c r="CE22" i="6"/>
  <c r="CX22" i="6"/>
  <c r="CK23" i="6"/>
  <c r="CG25" i="6"/>
  <c r="CX25" i="6"/>
  <c r="CJ27" i="6"/>
  <c r="CW27" i="6"/>
  <c r="CQ27" i="6"/>
  <c r="CV34" i="6"/>
  <c r="CH34" i="6"/>
  <c r="CU34" i="6"/>
  <c r="CT34" i="6"/>
  <c r="CP36" i="6"/>
  <c r="CV78" i="6"/>
  <c r="CT78" i="6"/>
  <c r="CI78" i="6"/>
  <c r="CH78" i="6"/>
  <c r="CU78" i="6"/>
  <c r="CA80" i="6"/>
  <c r="CF81" i="6"/>
  <c r="CQ81" i="6"/>
  <c r="CB81" i="6"/>
  <c r="CO81" i="6"/>
  <c r="CD81" i="6"/>
  <c r="CS81" i="6"/>
  <c r="CA81" i="6"/>
  <c r="CN81" i="6"/>
  <c r="CW81" i="6"/>
  <c r="CJ13" i="6"/>
  <c r="CX13" i="6"/>
  <c r="CH15" i="6"/>
  <c r="CV15" i="6"/>
  <c r="CF16" i="6"/>
  <c r="CN19" i="6"/>
  <c r="CJ20" i="6"/>
  <c r="CX20" i="6"/>
  <c r="CH21" i="6"/>
  <c r="CV21" i="6"/>
  <c r="CA24" i="6"/>
  <c r="CH25" i="6"/>
  <c r="CS27" i="6"/>
  <c r="CH30" i="6"/>
  <c r="CC39" i="6"/>
  <c r="CF56" i="6"/>
  <c r="CH85" i="6"/>
  <c r="CT85" i="6"/>
  <c r="CV85" i="6"/>
  <c r="CU85" i="6"/>
  <c r="CE92" i="6"/>
  <c r="C92" i="6"/>
  <c r="CX92" i="6"/>
  <c r="CK92" i="6"/>
  <c r="CE23" i="6"/>
  <c r="CR23" i="6"/>
  <c r="CQ86" i="6"/>
  <c r="CB86" i="6"/>
  <c r="CO86" i="6"/>
  <c r="CS86" i="6"/>
  <c r="CA86" i="6"/>
  <c r="C86" i="6"/>
  <c r="CN86" i="6"/>
  <c r="CF86" i="6"/>
  <c r="CI15" i="6"/>
  <c r="CI21" i="6"/>
  <c r="CI25" i="6"/>
  <c r="CR48" i="6"/>
  <c r="CC48" i="6"/>
  <c r="CP48" i="6"/>
  <c r="CX48" i="6"/>
  <c r="CT54" i="6"/>
  <c r="CN13" i="6"/>
  <c r="CJ15" i="6"/>
  <c r="CX15" i="6"/>
  <c r="CT17" i="6"/>
  <c r="CP19" i="6"/>
  <c r="CN20" i="6"/>
  <c r="CJ21" i="6"/>
  <c r="CX21" i="6"/>
  <c r="CJ22" i="6"/>
  <c r="CF23" i="6"/>
  <c r="CS23" i="6"/>
  <c r="CD23" i="6"/>
  <c r="CP23" i="6"/>
  <c r="CF24" i="6"/>
  <c r="CW24" i="6"/>
  <c r="CC29" i="6"/>
  <c r="CP29" i="6"/>
  <c r="CV35" i="6"/>
  <c r="CG35" i="6"/>
  <c r="CH35" i="6"/>
  <c r="CU35" i="6"/>
  <c r="CT35" i="6"/>
  <c r="CE39" i="6"/>
  <c r="CT51" i="6"/>
  <c r="CU54" i="6"/>
  <c r="CF80" i="6"/>
  <c r="CW83" i="6"/>
  <c r="CB29" i="6"/>
  <c r="CV29" i="6"/>
  <c r="CH29" i="6"/>
  <c r="CU29" i="6"/>
  <c r="CG29" i="6"/>
  <c r="CI30" i="6"/>
  <c r="CQ37" i="6"/>
  <c r="CA13" i="6"/>
  <c r="CO13" i="6"/>
  <c r="C16" i="6"/>
  <c r="CW16" i="6"/>
  <c r="CG17" i="6"/>
  <c r="CU17" i="6"/>
  <c r="CC19" i="6"/>
  <c r="CA20" i="6"/>
  <c r="CO20" i="6"/>
  <c r="C22" i="6"/>
  <c r="CK22" i="6"/>
  <c r="CK25" i="6"/>
  <c r="AY26" i="6"/>
  <c r="C28" i="6"/>
  <c r="CQ29" i="6"/>
  <c r="CO29" i="6"/>
  <c r="CA29" i="6"/>
  <c r="AY29" i="6" s="1"/>
  <c r="CW29" i="6"/>
  <c r="C36" i="6"/>
  <c r="CX45" i="6"/>
  <c r="CR45" i="6"/>
  <c r="C45" i="6"/>
  <c r="CP45" i="6"/>
  <c r="CK45" i="6"/>
  <c r="CE45" i="6"/>
  <c r="CC45" i="6"/>
  <c r="CE48" i="6"/>
  <c r="CE52" i="6"/>
  <c r="CK52" i="6"/>
  <c r="C52" i="6"/>
  <c r="CX52" i="6"/>
  <c r="CC52" i="6"/>
  <c r="CR52" i="6"/>
  <c r="CE75" i="6"/>
  <c r="CC75" i="6"/>
  <c r="CK75" i="6"/>
  <c r="C75" i="6"/>
  <c r="CD86" i="6"/>
  <c r="CR88" i="6"/>
  <c r="CX88" i="6"/>
  <c r="CC88" i="6"/>
  <c r="C88" i="6"/>
  <c r="CK88" i="6"/>
  <c r="CP88" i="6"/>
  <c r="CE88" i="6"/>
  <c r="CK111" i="6"/>
  <c r="CE111" i="6"/>
  <c r="CR111" i="6"/>
  <c r="CC111" i="6"/>
  <c r="CX111" i="6"/>
  <c r="CP111" i="6"/>
  <c r="C111" i="6"/>
  <c r="CU113" i="6"/>
  <c r="CG113" i="6"/>
  <c r="CH113" i="6"/>
  <c r="CV113" i="6"/>
  <c r="CT113" i="6"/>
  <c r="C119" i="6"/>
  <c r="CX119" i="6"/>
  <c r="CE119" i="6"/>
  <c r="CR119" i="6"/>
  <c r="CC119" i="6"/>
  <c r="CP119" i="6"/>
  <c r="CK119" i="6"/>
  <c r="CN37" i="6"/>
  <c r="CJ37" i="6"/>
  <c r="CD37" i="6"/>
  <c r="CS37" i="6"/>
  <c r="CS52" i="6"/>
  <c r="CQ52" i="6"/>
  <c r="CJ52" i="6"/>
  <c r="CD52" i="6"/>
  <c r="CA52" i="6"/>
  <c r="CB54" i="6"/>
  <c r="CI54" i="6"/>
  <c r="CH54" i="6"/>
  <c r="CG54" i="6"/>
  <c r="CS75" i="6"/>
  <c r="CQ75" i="6"/>
  <c r="CN75" i="6"/>
  <c r="CJ75" i="6"/>
  <c r="CB75" i="6"/>
  <c r="CA75" i="6"/>
  <c r="CD88" i="6"/>
  <c r="CQ88" i="6"/>
  <c r="CB88" i="6"/>
  <c r="CO88" i="6"/>
  <c r="CN88" i="6"/>
  <c r="CS88" i="6"/>
  <c r="CF88" i="6"/>
  <c r="CA88" i="6"/>
  <c r="C96" i="6"/>
  <c r="CE96" i="6"/>
  <c r="CX96" i="6"/>
  <c r="CC96" i="6"/>
  <c r="CR96" i="6"/>
  <c r="CP96" i="6"/>
  <c r="CK96" i="6"/>
  <c r="CW99" i="6"/>
  <c r="CN99" i="6"/>
  <c r="C99" i="6"/>
  <c r="CD99" i="6"/>
  <c r="CS99" i="6"/>
  <c r="CA99" i="6"/>
  <c r="CF99" i="6"/>
  <c r="CJ99" i="6"/>
  <c r="CJ36" i="6"/>
  <c r="CS36" i="6"/>
  <c r="CA36" i="6"/>
  <c r="CQ36" i="6"/>
  <c r="CB43" i="6"/>
  <c r="CH43" i="6"/>
  <c r="CV43" i="6"/>
  <c r="CG43" i="6"/>
  <c r="CU43" i="6"/>
  <c r="CI82" i="6"/>
  <c r="CG82" i="6"/>
  <c r="CU82" i="6"/>
  <c r="CV82" i="6"/>
  <c r="CD13" i="6"/>
  <c r="CR13" i="6"/>
  <c r="CP15" i="6"/>
  <c r="CN16" i="6"/>
  <c r="CX17" i="6"/>
  <c r="CF19" i="6"/>
  <c r="CD20" i="6"/>
  <c r="CR20" i="6"/>
  <c r="CP21" i="6"/>
  <c r="CP22" i="6"/>
  <c r="CC23" i="6"/>
  <c r="CW23" i="6"/>
  <c r="CJ24" i="6"/>
  <c r="CO25" i="6"/>
  <c r="CA25" i="6"/>
  <c r="CN25" i="6"/>
  <c r="CS25" i="6"/>
  <c r="CT26" i="6"/>
  <c r="CE29" i="6"/>
  <c r="C32" i="6"/>
  <c r="CC32" i="6"/>
  <c r="CP32" i="6"/>
  <c r="CX32" i="6"/>
  <c r="CI34" i="6"/>
  <c r="CD36" i="6"/>
  <c r="CA37" i="6"/>
  <c r="CB42" i="6"/>
  <c r="CI42" i="6"/>
  <c r="CH42" i="6"/>
  <c r="CV42" i="6"/>
  <c r="CG42" i="6"/>
  <c r="CF52" i="6"/>
  <c r="C57" i="6"/>
  <c r="CK57" i="6"/>
  <c r="CR57" i="6"/>
  <c r="CF75" i="6"/>
  <c r="CS80" i="6"/>
  <c r="CI85" i="6"/>
  <c r="CJ88" i="6"/>
  <c r="CQ20" i="6"/>
  <c r="CB83" i="6"/>
  <c r="CO83" i="6"/>
  <c r="CQ83" i="6"/>
  <c r="CS83" i="6"/>
  <c r="C83" i="6"/>
  <c r="CN83" i="6"/>
  <c r="CF83" i="6"/>
  <c r="CS13" i="6"/>
  <c r="CC15" i="6"/>
  <c r="AY15" i="6" s="1"/>
  <c r="CQ15" i="6"/>
  <c r="CA16" i="6"/>
  <c r="CO16" i="6"/>
  <c r="CS20" i="6"/>
  <c r="CC21" i="6"/>
  <c r="AY21" i="6" s="1"/>
  <c r="CQ21" i="6"/>
  <c r="CA22" i="6"/>
  <c r="CQ22" i="6"/>
  <c r="CX23" i="6"/>
  <c r="CC25" i="6"/>
  <c r="CT25" i="6"/>
  <c r="CU26" i="6"/>
  <c r="CF29" i="6"/>
  <c r="CV30" i="6"/>
  <c r="CW32" i="6"/>
  <c r="CQ32" i="6"/>
  <c r="CO32" i="6"/>
  <c r="CA32" i="6"/>
  <c r="CU33" i="6"/>
  <c r="CG33" i="6"/>
  <c r="AY33" i="6" s="1"/>
  <c r="CT33" i="6"/>
  <c r="CB41" i="6"/>
  <c r="CI41" i="6"/>
  <c r="CH41" i="6"/>
  <c r="CV41" i="6"/>
  <c r="CG41" i="6"/>
  <c r="CR42" i="6"/>
  <c r="CC42" i="6"/>
  <c r="CP42" i="6"/>
  <c r="CX42" i="6"/>
  <c r="CP44" i="6"/>
  <c r="CX44" i="6"/>
  <c r="CC44" i="6"/>
  <c r="AY44" i="6" s="1"/>
  <c r="CK44" i="6"/>
  <c r="CJ45" i="6"/>
  <c r="CK48" i="6"/>
  <c r="CW57" i="6"/>
  <c r="CD57" i="6"/>
  <c r="CJ57" i="6"/>
  <c r="CF57" i="6"/>
  <c r="CS57" i="6"/>
  <c r="CA57" i="6"/>
  <c r="CQ57" i="6"/>
  <c r="CO75" i="6"/>
  <c r="CD83" i="6"/>
  <c r="CW88" i="6"/>
  <c r="CQ28" i="6"/>
  <c r="CO28" i="6"/>
  <c r="CJ28" i="6"/>
  <c r="CW28" i="6"/>
  <c r="CD28" i="6"/>
  <c r="CK30" i="6"/>
  <c r="CE30" i="6"/>
  <c r="CX51" i="6"/>
  <c r="CE51" i="6"/>
  <c r="CR51" i="6"/>
  <c r="CP51" i="6"/>
  <c r="CJ86" i="6"/>
  <c r="CF13" i="6"/>
  <c r="CD15" i="6"/>
  <c r="CR15" i="6"/>
  <c r="CP16" i="6"/>
  <c r="CN17" i="6"/>
  <c r="CX18" i="6"/>
  <c r="CD21" i="6"/>
  <c r="CR21" i="6"/>
  <c r="CR22" i="6"/>
  <c r="C24" i="6"/>
  <c r="CN24" i="6"/>
  <c r="CD25" i="6"/>
  <c r="CU25" i="6"/>
  <c r="CV26" i="6"/>
  <c r="CN27" i="6"/>
  <c r="CI29" i="6"/>
  <c r="CX33" i="6"/>
  <c r="CE33" i="6"/>
  <c r="CK33" i="6"/>
  <c r="CR33" i="6"/>
  <c r="CI35" i="6"/>
  <c r="CF36" i="6"/>
  <c r="AY38" i="6"/>
  <c r="CB40" i="6"/>
  <c r="CI40" i="6"/>
  <c r="CH40" i="6"/>
  <c r="CV40" i="6"/>
  <c r="CG40" i="6"/>
  <c r="CP41" i="6"/>
  <c r="CR41" i="6"/>
  <c r="CC41" i="6"/>
  <c r="CX41" i="6"/>
  <c r="CC51" i="6"/>
  <c r="AY51" i="6" s="1"/>
  <c r="CN52" i="6"/>
  <c r="CC57" i="6"/>
  <c r="CP75" i="6"/>
  <c r="CW86" i="6"/>
  <c r="CH89" i="6"/>
  <c r="CU89" i="6"/>
  <c r="CT89" i="6"/>
  <c r="CP92" i="6"/>
  <c r="CS102" i="6"/>
  <c r="CQ102" i="6"/>
  <c r="CB102" i="6"/>
  <c r="CA102" i="6"/>
  <c r="CJ102" i="6"/>
  <c r="CW102" i="6"/>
  <c r="CF102" i="6"/>
  <c r="CO102" i="6"/>
  <c r="CN102" i="6"/>
  <c r="CK117" i="6"/>
  <c r="CE117" i="6"/>
  <c r="CR117" i="6"/>
  <c r="CC117" i="6"/>
  <c r="CX117" i="6"/>
  <c r="CP117" i="6"/>
  <c r="C117" i="6"/>
  <c r="CU30" i="6"/>
  <c r="CG30" i="6"/>
  <c r="CT30" i="6"/>
  <c r="CX36" i="6"/>
  <c r="CC36" i="6"/>
  <c r="CR36" i="6"/>
  <c r="CD45" i="6"/>
  <c r="CQ45" i="6"/>
  <c r="CF45" i="6"/>
  <c r="CK16" i="6"/>
  <c r="CO22" i="6"/>
  <c r="CR25" i="6"/>
  <c r="CR30" i="6"/>
  <c r="CV38" i="6"/>
  <c r="CG38" i="6"/>
  <c r="CH38" i="6"/>
  <c r="CU38" i="6"/>
  <c r="CK55" i="6"/>
  <c r="CR55" i="6"/>
  <c r="CC55" i="6"/>
  <c r="CP55" i="6"/>
  <c r="C55" i="6"/>
  <c r="CX55" i="6"/>
  <c r="CD75" i="6"/>
  <c r="CA17" i="6"/>
  <c r="CS22" i="6"/>
  <c r="CR24" i="6"/>
  <c r="CC24" i="6"/>
  <c r="CP24" i="6"/>
  <c r="CO24" i="6"/>
  <c r="CE25" i="6"/>
  <c r="CV25" i="6"/>
  <c r="CO27" i="6"/>
  <c r="CJ29" i="6"/>
  <c r="CC30" i="6"/>
  <c r="AY30" i="6" s="1"/>
  <c r="CX30" i="6"/>
  <c r="CD32" i="6"/>
  <c r="CV33" i="6"/>
  <c r="CK36" i="6"/>
  <c r="CF37" i="6"/>
  <c r="C39" i="6"/>
  <c r="CR40" i="6"/>
  <c r="CP40" i="6"/>
  <c r="CX40" i="6"/>
  <c r="CE44" i="6"/>
  <c r="CO52" i="6"/>
  <c r="CE55" i="6"/>
  <c r="CE57" i="6"/>
  <c r="CR75" i="6"/>
  <c r="CH79" i="6"/>
  <c r="CV79" i="6"/>
  <c r="CU79" i="6"/>
  <c r="CT79" i="6"/>
  <c r="CH82" i="6"/>
  <c r="CQ99" i="6"/>
  <c r="CD102" i="6"/>
  <c r="C118" i="6"/>
  <c r="CX118" i="6"/>
  <c r="CE118" i="6"/>
  <c r="CR118" i="6"/>
  <c r="CC118" i="6"/>
  <c r="CP118" i="6"/>
  <c r="CK118" i="6"/>
  <c r="CK34" i="6"/>
  <c r="CN35" i="6"/>
  <c r="CF43" i="6"/>
  <c r="CJ44" i="6"/>
  <c r="C46" i="6"/>
  <c r="CR46" i="6"/>
  <c r="CV47" i="6"/>
  <c r="CX49" i="6"/>
  <c r="CO51" i="6"/>
  <c r="CR78" i="6"/>
  <c r="CC78" i="6"/>
  <c r="CP78" i="6"/>
  <c r="CE78" i="6"/>
  <c r="CF87" i="6"/>
  <c r="CQ87" i="6"/>
  <c r="CB87" i="6"/>
  <c r="CO87" i="6"/>
  <c r="CD87" i="6"/>
  <c r="CS87" i="6"/>
  <c r="CA87" i="6"/>
  <c r="CN87" i="6"/>
  <c r="CB89" i="6"/>
  <c r="CO89" i="6"/>
  <c r="CQ89" i="6"/>
  <c r="CD89" i="6"/>
  <c r="CA89" i="6"/>
  <c r="CB90" i="6"/>
  <c r="CD90" i="6"/>
  <c r="CF90" i="6"/>
  <c r="CW90" i="6"/>
  <c r="C90" i="6"/>
  <c r="CQ90" i="6"/>
  <c r="CO90" i="6"/>
  <c r="CO104" i="6"/>
  <c r="CA104" i="6"/>
  <c r="CQ104" i="6"/>
  <c r="CB104" i="6"/>
  <c r="CJ104" i="6"/>
  <c r="CW104" i="6"/>
  <c r="CF104" i="6"/>
  <c r="CN104" i="6"/>
  <c r="CN33" i="6"/>
  <c r="CN34" i="6"/>
  <c r="CP35" i="6"/>
  <c r="CW39" i="6"/>
  <c r="CW40" i="6"/>
  <c r="CW41" i="6"/>
  <c r="CW42" i="6"/>
  <c r="CS46" i="6"/>
  <c r="CG47" i="6"/>
  <c r="C49" i="6"/>
  <c r="C50" i="6"/>
  <c r="CN78" i="6"/>
  <c r="CA78" i="6"/>
  <c r="CB78" i="6"/>
  <c r="CW78" i="6"/>
  <c r="CR84" i="6"/>
  <c r="CC84" i="6"/>
  <c r="CP84" i="6"/>
  <c r="CE84" i="6"/>
  <c r="C84" i="6"/>
  <c r="CD104" i="6"/>
  <c r="CC109" i="6"/>
  <c r="CE109" i="6"/>
  <c r="CK109" i="6"/>
  <c r="C109" i="6"/>
  <c r="CR109" i="6"/>
  <c r="CP109" i="6"/>
  <c r="CW50" i="6"/>
  <c r="CQ50" i="6"/>
  <c r="CO50" i="6"/>
  <c r="CK56" i="6"/>
  <c r="C56" i="6"/>
  <c r="CR56" i="6"/>
  <c r="C81" i="6"/>
  <c r="CN84" i="6"/>
  <c r="CA84" i="6"/>
  <c r="CB84" i="6"/>
  <c r="CO84" i="6"/>
  <c r="CC93" i="6"/>
  <c r="C93" i="6"/>
  <c r="CR93" i="6"/>
  <c r="CE93" i="6"/>
  <c r="CP116" i="6"/>
  <c r="CE116" i="6"/>
  <c r="CR116" i="6"/>
  <c r="CK116" i="6"/>
  <c r="CC116" i="6"/>
  <c r="C116" i="6"/>
  <c r="CX116" i="6"/>
  <c r="CN39" i="6"/>
  <c r="CN40" i="6"/>
  <c r="CN41" i="6"/>
  <c r="CO42" i="6"/>
  <c r="CN43" i="6"/>
  <c r="CD46" i="6"/>
  <c r="CO48" i="6"/>
  <c r="CA48" i="6"/>
  <c r="AY48" i="6" s="1"/>
  <c r="CC50" i="6"/>
  <c r="CS50" i="6"/>
  <c r="CR54" i="6"/>
  <c r="CC54" i="6"/>
  <c r="CU58" i="6"/>
  <c r="CG58" i="6"/>
  <c r="CH58" i="6"/>
  <c r="CV58" i="6"/>
  <c r="CA69" i="6"/>
  <c r="R69" i="6" s="1"/>
  <c r="CN69" i="6"/>
  <c r="CP77" i="6"/>
  <c r="CR77" i="6"/>
  <c r="CC77" i="6"/>
  <c r="CK77" i="6"/>
  <c r="C77" i="6"/>
  <c r="CJ79" i="6"/>
  <c r="CQ79" i="6"/>
  <c r="CB79" i="6"/>
  <c r="CO79" i="6"/>
  <c r="CW79" i="6"/>
  <c r="CF79" i="6"/>
  <c r="CE81" i="6"/>
  <c r="CR82" i="6"/>
  <c r="CX82" i="6"/>
  <c r="CC82" i="6"/>
  <c r="CJ85" i="6"/>
  <c r="CQ85" i="6"/>
  <c r="CB85" i="6"/>
  <c r="CO85" i="6"/>
  <c r="CW85" i="6"/>
  <c r="CF85" i="6"/>
  <c r="CJ89" i="6"/>
  <c r="C106" i="6"/>
  <c r="CX106" i="6"/>
  <c r="CC106" i="6"/>
  <c r="CR106" i="6"/>
  <c r="CP106" i="6"/>
  <c r="CK106" i="6"/>
  <c r="CE106" i="6"/>
  <c r="CX26" i="6"/>
  <c r="C31" i="6"/>
  <c r="CW31" i="6"/>
  <c r="CS33" i="6"/>
  <c r="CD34" i="6"/>
  <c r="AY34" i="6" s="1"/>
  <c r="CS34" i="6"/>
  <c r="CE35" i="6"/>
  <c r="AY35" i="6" s="1"/>
  <c r="CN38" i="6"/>
  <c r="CO39" i="6"/>
  <c r="CO40" i="6"/>
  <c r="CO41" i="6"/>
  <c r="CA42" i="6"/>
  <c r="CO43" i="6"/>
  <c r="CW44" i="6"/>
  <c r="CE46" i="6"/>
  <c r="CC47" i="6"/>
  <c r="AY47" i="6" s="1"/>
  <c r="CR47" i="6"/>
  <c r="CN47" i="6"/>
  <c r="CQ48" i="6"/>
  <c r="CC49" i="6"/>
  <c r="CR49" i="6"/>
  <c r="CD50" i="6"/>
  <c r="CF51" i="6"/>
  <c r="CW51" i="6"/>
  <c r="C53" i="6"/>
  <c r="CO54" i="6"/>
  <c r="CA54" i="6"/>
  <c r="CP54" i="6"/>
  <c r="CC56" i="6"/>
  <c r="CE58" i="6"/>
  <c r="AY58" i="6" s="1"/>
  <c r="CX58" i="6"/>
  <c r="CO58" i="6"/>
  <c r="CA79" i="6"/>
  <c r="CD82" i="6"/>
  <c r="CQ82" i="6"/>
  <c r="CB82" i="6"/>
  <c r="CO82" i="6"/>
  <c r="CW82" i="6"/>
  <c r="CA85" i="6"/>
  <c r="CK95" i="6"/>
  <c r="CE95" i="6"/>
  <c r="CX95" i="6"/>
  <c r="C95" i="6"/>
  <c r="CP95" i="6"/>
  <c r="CR95" i="6"/>
  <c r="CC115" i="6"/>
  <c r="CE115" i="6"/>
  <c r="CR115" i="6"/>
  <c r="CK115" i="6"/>
  <c r="C115" i="6"/>
  <c r="CX115" i="6"/>
  <c r="C27" i="6"/>
  <c r="CN30" i="6"/>
  <c r="CX31" i="6"/>
  <c r="CF35" i="6"/>
  <c r="C37" i="6"/>
  <c r="CA39" i="6"/>
  <c r="CA40" i="6"/>
  <c r="AY40" i="6" s="1"/>
  <c r="CA41" i="6"/>
  <c r="CQ42" i="6"/>
  <c r="CA43" i="6"/>
  <c r="AY43" i="6" s="1"/>
  <c r="CO47" i="6"/>
  <c r="CS48" i="6"/>
  <c r="CE50" i="6"/>
  <c r="CC53" i="6"/>
  <c r="CR53" i="6"/>
  <c r="CN53" i="6"/>
  <c r="CQ54" i="6"/>
  <c r="CP58" i="6"/>
  <c r="CJ78" i="6"/>
  <c r="CA82" i="6"/>
  <c r="CN89" i="6"/>
  <c r="C91" i="6"/>
  <c r="CK91" i="6"/>
  <c r="CX91" i="6"/>
  <c r="CE91" i="6"/>
  <c r="CR91" i="6"/>
  <c r="CX109" i="6"/>
  <c r="CQ39" i="6"/>
  <c r="CQ40" i="6"/>
  <c r="CQ43" i="6"/>
  <c r="CP47" i="6"/>
  <c r="CD48" i="6"/>
  <c r="CE49" i="6"/>
  <c r="CF50" i="6"/>
  <c r="CO53" i="6"/>
  <c r="CS54" i="6"/>
  <c r="CE56" i="6"/>
  <c r="CQ58" i="6"/>
  <c r="CK78" i="6"/>
  <c r="CD79" i="6"/>
  <c r="CE82" i="6"/>
  <c r="CJ84" i="6"/>
  <c r="CD85" i="6"/>
  <c r="CS89" i="6"/>
  <c r="CQ103" i="6"/>
  <c r="CB103" i="6"/>
  <c r="CA103" i="6"/>
  <c r="CJ103" i="6"/>
  <c r="CW103" i="6"/>
  <c r="CF103" i="6"/>
  <c r="CO103" i="6"/>
  <c r="CS103" i="6"/>
  <c r="CP110" i="6"/>
  <c r="CE110" i="6"/>
  <c r="CK110" i="6"/>
  <c r="CC110" i="6"/>
  <c r="C110" i="6"/>
  <c r="CR110" i="6"/>
  <c r="CK105" i="6"/>
  <c r="CP105" i="6"/>
  <c r="CX105" i="6"/>
  <c r="C105" i="6"/>
  <c r="CE105" i="6"/>
  <c r="CR105" i="6"/>
  <c r="CQ107" i="6"/>
  <c r="CF107" i="6"/>
  <c r="CD107" i="6"/>
  <c r="CW107" i="6"/>
  <c r="CH98" i="6"/>
  <c r="CI98" i="6"/>
  <c r="CJ107" i="6"/>
  <c r="AY113" i="6"/>
  <c r="CH114" i="6"/>
  <c r="AY114" i="6" s="1"/>
  <c r="CV114" i="6"/>
  <c r="CG114" i="6"/>
  <c r="CU114" i="6"/>
  <c r="CT114" i="6"/>
  <c r="CK94" i="6"/>
  <c r="CC98" i="6"/>
  <c r="CR98" i="6"/>
  <c r="CP98" i="6"/>
  <c r="CT98" i="6"/>
  <c r="CR104" i="6"/>
  <c r="CC104" i="6"/>
  <c r="C104" i="6"/>
  <c r="CX104" i="6"/>
  <c r="CE114" i="6"/>
  <c r="CR114" i="6"/>
  <c r="CC114" i="6"/>
  <c r="CV94" i="6"/>
  <c r="CG94" i="6"/>
  <c r="CU94" i="6"/>
  <c r="CC103" i="6"/>
  <c r="CR103" i="6"/>
  <c r="CP103" i="6"/>
  <c r="C103" i="6"/>
  <c r="CX103" i="6"/>
  <c r="CQ106" i="6"/>
  <c r="CD106" i="6"/>
  <c r="CJ106" i="6"/>
  <c r="CS107" i="6"/>
  <c r="CE98" i="6"/>
  <c r="CE102" i="6"/>
  <c r="CP102" i="6"/>
  <c r="C102" i="6"/>
  <c r="CX102" i="6"/>
  <c r="CE104" i="6"/>
  <c r="CG98" i="6"/>
  <c r="CH100" i="6"/>
  <c r="CG100" i="6"/>
  <c r="CV100" i="6"/>
  <c r="CU100" i="6"/>
  <c r="CT100" i="6"/>
  <c r="CP101" i="6"/>
  <c r="CX101" i="6"/>
  <c r="CE101" i="6"/>
  <c r="CE103" i="6"/>
  <c r="CS106" i="6"/>
  <c r="CX94" i="6"/>
  <c r="CP100" i="6"/>
  <c r="CX100" i="6"/>
  <c r="CE100" i="6"/>
  <c r="CQ101" i="6"/>
  <c r="CB101" i="6"/>
  <c r="CA101" i="6"/>
  <c r="CJ101" i="6"/>
  <c r="CW101" i="6"/>
  <c r="CF101" i="6"/>
  <c r="CC102" i="6"/>
  <c r="CK103" i="6"/>
  <c r="CP104" i="6"/>
  <c r="C112" i="6"/>
  <c r="CE112" i="6"/>
  <c r="CR112" i="6"/>
  <c r="CC112" i="6"/>
  <c r="CX112" i="6"/>
  <c r="CK114" i="6"/>
  <c r="CO77" i="6"/>
  <c r="CA77" i="6"/>
  <c r="CQ77" i="6"/>
  <c r="CP83" i="6"/>
  <c r="CR83" i="6"/>
  <c r="CC83" i="6"/>
  <c r="CP89" i="6"/>
  <c r="CR89" i="6"/>
  <c r="CC89" i="6"/>
  <c r="AY100" i="6"/>
  <c r="CC101" i="6"/>
  <c r="CK102" i="6"/>
  <c r="CE107" i="6"/>
  <c r="CR107" i="6"/>
  <c r="C107" i="6"/>
  <c r="CX107" i="6"/>
  <c r="CC107" i="6"/>
  <c r="CE113" i="6"/>
  <c r="CR113" i="6"/>
  <c r="CC113" i="6"/>
  <c r="CJ91" i="6"/>
  <c r="CJ92" i="6"/>
  <c r="CJ93" i="6"/>
  <c r="CJ96" i="6"/>
  <c r="C97" i="6"/>
  <c r="CK97" i="6"/>
  <c r="CD100" i="6"/>
  <c r="CD109" i="6"/>
  <c r="CS109" i="6"/>
  <c r="CD110" i="6"/>
  <c r="CS110" i="6"/>
  <c r="CD115" i="6"/>
  <c r="CS115" i="6"/>
  <c r="CD116" i="6"/>
  <c r="CS116" i="6"/>
  <c r="CC120" i="6"/>
  <c r="AY120" i="6" s="1"/>
  <c r="CR120" i="6"/>
  <c r="CD118" i="6"/>
  <c r="CS118" i="6"/>
  <c r="CD119" i="6"/>
  <c r="CS119" i="6"/>
  <c r="CD120" i="6"/>
  <c r="CT120" i="6"/>
  <c r="CN92" i="6"/>
  <c r="CN93" i="6"/>
  <c r="CO94" i="6"/>
  <c r="CA94" i="6"/>
  <c r="CN94" i="6"/>
  <c r="CN96" i="6"/>
  <c r="CP97" i="6"/>
  <c r="CF100" i="6"/>
  <c r="C108" i="6"/>
  <c r="CS108" i="6"/>
  <c r="CF109" i="6"/>
  <c r="CF114" i="6"/>
  <c r="CF115" i="6"/>
  <c r="CF120" i="6"/>
  <c r="CU120" i="6"/>
  <c r="CF118" i="6"/>
  <c r="CF119" i="6"/>
  <c r="CG120" i="6"/>
  <c r="CV120" i="6"/>
  <c r="CH120" i="6"/>
  <c r="CX120" i="6"/>
  <c r="CK120" i="6"/>
  <c r="CF108" i="6"/>
  <c r="CN109" i="6"/>
  <c r="CO110" i="6"/>
  <c r="CA110" i="6"/>
  <c r="CN110" i="6"/>
  <c r="CN112" i="6"/>
  <c r="CN113" i="6"/>
  <c r="CN114" i="6"/>
  <c r="CN115" i="6"/>
  <c r="CO116" i="6"/>
  <c r="CA116" i="6"/>
  <c r="CN116" i="6"/>
  <c r="CN118" i="6"/>
  <c r="CN119" i="6"/>
  <c r="CN120" i="6"/>
  <c r="CQ100" i="6"/>
  <c r="CO109" i="6"/>
  <c r="CO112" i="6"/>
  <c r="CO114" i="6"/>
  <c r="CO115" i="6"/>
  <c r="CO118" i="6"/>
  <c r="CO120" i="6"/>
  <c r="CQ120" i="6"/>
  <c r="AY109" i="6" l="1"/>
  <c r="CH115" i="6"/>
  <c r="CV115" i="6"/>
  <c r="CG115" i="6"/>
  <c r="CU115" i="6"/>
  <c r="CT115" i="6"/>
  <c r="CI115" i="6"/>
  <c r="CV117" i="6"/>
  <c r="CG117" i="6"/>
  <c r="AY117" i="6" s="1"/>
  <c r="CU117" i="6"/>
  <c r="CT117" i="6"/>
  <c r="CH117" i="6"/>
  <c r="CI117" i="6"/>
  <c r="CB16" i="6"/>
  <c r="CI16" i="6"/>
  <c r="CU16" i="6"/>
  <c r="CV16" i="6"/>
  <c r="CH16" i="6"/>
  <c r="CG16" i="6"/>
  <c r="AY16" i="6" s="1"/>
  <c r="CT16" i="6"/>
  <c r="CV86" i="6"/>
  <c r="CH86" i="6"/>
  <c r="CG86" i="6"/>
  <c r="AY86" i="6" s="1"/>
  <c r="CU86" i="6"/>
  <c r="CT86" i="6"/>
  <c r="CI86" i="6"/>
  <c r="A146" i="6"/>
  <c r="CU13" i="6"/>
  <c r="CG13" i="6"/>
  <c r="CT13" i="6"/>
  <c r="CH13" i="6"/>
  <c r="AY13" i="6" s="1"/>
  <c r="CI13" i="6"/>
  <c r="CB13" i="6"/>
  <c r="CV13" i="6"/>
  <c r="CI31" i="6"/>
  <c r="CH31" i="6"/>
  <c r="CU31" i="6"/>
  <c r="CG31" i="6"/>
  <c r="CV31" i="6"/>
  <c r="CT31" i="6"/>
  <c r="CB31" i="6"/>
  <c r="CB53" i="6"/>
  <c r="CG53" i="6"/>
  <c r="CV53" i="6"/>
  <c r="CU53" i="6"/>
  <c r="CI53" i="6"/>
  <c r="CH53" i="6"/>
  <c r="CT53" i="6"/>
  <c r="CV28" i="6"/>
  <c r="CB28" i="6"/>
  <c r="CI28" i="6"/>
  <c r="CH28" i="6"/>
  <c r="CG28" i="6"/>
  <c r="CU28" i="6"/>
  <c r="CT28" i="6"/>
  <c r="AY98" i="6"/>
  <c r="CH110" i="6"/>
  <c r="CV110" i="6"/>
  <c r="CG110" i="6"/>
  <c r="CU110" i="6"/>
  <c r="CT110" i="6"/>
  <c r="CI110" i="6"/>
  <c r="AY110" i="6" s="1"/>
  <c r="CU91" i="6"/>
  <c r="CG91" i="6"/>
  <c r="CV91" i="6"/>
  <c r="CH91" i="6"/>
  <c r="CI91" i="6"/>
  <c r="CT91" i="6"/>
  <c r="AY82" i="6"/>
  <c r="AY41" i="6"/>
  <c r="AY42" i="6"/>
  <c r="CV90" i="6"/>
  <c r="CG90" i="6"/>
  <c r="CI90" i="6"/>
  <c r="CU90" i="6"/>
  <c r="CT90" i="6"/>
  <c r="CH90" i="6"/>
  <c r="CB55" i="6"/>
  <c r="CI55" i="6"/>
  <c r="CH55" i="6"/>
  <c r="CT55" i="6"/>
  <c r="CV55" i="6"/>
  <c r="CU55" i="6"/>
  <c r="CG55" i="6"/>
  <c r="CH83" i="6"/>
  <c r="CT83" i="6"/>
  <c r="CG83" i="6"/>
  <c r="AY83" i="6" s="1"/>
  <c r="CI83" i="6"/>
  <c r="CV83" i="6"/>
  <c r="CU83" i="6"/>
  <c r="CI75" i="6"/>
  <c r="CH75" i="6"/>
  <c r="CG75" i="6"/>
  <c r="CV75" i="6"/>
  <c r="CU75" i="6"/>
  <c r="CT75" i="6"/>
  <c r="CV93" i="6"/>
  <c r="CG93" i="6"/>
  <c r="AY93" i="6" s="1"/>
  <c r="CU93" i="6"/>
  <c r="CH93" i="6"/>
  <c r="CT93" i="6"/>
  <c r="CI93" i="6"/>
  <c r="CV77" i="6"/>
  <c r="CU77" i="6"/>
  <c r="CT77" i="6"/>
  <c r="CI77" i="6"/>
  <c r="CH77" i="6"/>
  <c r="CG77" i="6"/>
  <c r="CH109" i="6"/>
  <c r="CV109" i="6"/>
  <c r="CG109" i="6"/>
  <c r="CU109" i="6"/>
  <c r="CT109" i="6"/>
  <c r="CI109" i="6"/>
  <c r="AY78" i="6"/>
  <c r="CI118" i="6"/>
  <c r="CH118" i="6"/>
  <c r="AY118" i="6" s="1"/>
  <c r="CV118" i="6"/>
  <c r="CG118" i="6"/>
  <c r="CU118" i="6"/>
  <c r="CT118" i="6"/>
  <c r="AY32" i="6"/>
  <c r="AY75" i="6"/>
  <c r="CV80" i="6"/>
  <c r="CH80" i="6"/>
  <c r="CG80" i="6"/>
  <c r="CU80" i="6"/>
  <c r="CT80" i="6"/>
  <c r="CI80" i="6"/>
  <c r="AY101" i="6"/>
  <c r="CH116" i="6"/>
  <c r="CV116" i="6"/>
  <c r="CG116" i="6"/>
  <c r="CU116" i="6"/>
  <c r="CT116" i="6"/>
  <c r="CI116" i="6"/>
  <c r="CI46" i="6"/>
  <c r="CV46" i="6"/>
  <c r="CU119" i="6"/>
  <c r="CG119" i="6"/>
  <c r="AY119" i="6" s="1"/>
  <c r="CI119" i="6"/>
  <c r="CH119" i="6"/>
  <c r="CV119" i="6"/>
  <c r="CT119" i="6"/>
  <c r="CI112" i="6"/>
  <c r="CV112" i="6"/>
  <c r="CG112" i="6"/>
  <c r="CU112" i="6"/>
  <c r="CT112" i="6"/>
  <c r="CH112" i="6"/>
  <c r="CI105" i="6"/>
  <c r="CH105" i="6"/>
  <c r="CV105" i="6"/>
  <c r="CG105" i="6"/>
  <c r="CU105" i="6"/>
  <c r="CT105" i="6"/>
  <c r="CV37" i="6"/>
  <c r="CG37" i="6"/>
  <c r="AY37" i="6" s="1"/>
  <c r="CU37" i="6"/>
  <c r="CT37" i="6"/>
  <c r="CI37" i="6"/>
  <c r="CH37" i="6"/>
  <c r="AY79" i="6"/>
  <c r="CI50" i="6"/>
  <c r="CB50" i="6"/>
  <c r="CV50" i="6"/>
  <c r="CU50" i="6"/>
  <c r="CT50" i="6"/>
  <c r="CG50" i="6"/>
  <c r="CH50" i="6"/>
  <c r="CI57" i="6"/>
  <c r="CU57" i="6"/>
  <c r="CG57" i="6"/>
  <c r="CT57" i="6"/>
  <c r="CH57" i="6"/>
  <c r="CB57" i="6"/>
  <c r="AY57" i="6" s="1"/>
  <c r="CV57" i="6"/>
  <c r="CV45" i="6"/>
  <c r="CI45" i="6"/>
  <c r="AY45" i="6" s="1"/>
  <c r="CV22" i="6"/>
  <c r="CU22" i="6"/>
  <c r="CG22" i="6"/>
  <c r="CT22" i="6"/>
  <c r="CB22" i="6"/>
  <c r="AY22" i="6" s="1"/>
  <c r="CI22" i="6"/>
  <c r="CH22" i="6"/>
  <c r="CU20" i="6"/>
  <c r="A147" i="6" s="1"/>
  <c r="CG20" i="6"/>
  <c r="CT20" i="6"/>
  <c r="CB20" i="6"/>
  <c r="CI20" i="6"/>
  <c r="AY20" i="6" s="1"/>
  <c r="CV20" i="6"/>
  <c r="CH20" i="6"/>
  <c r="CT81" i="6"/>
  <c r="CV81" i="6"/>
  <c r="CI81" i="6"/>
  <c r="CH81" i="6"/>
  <c r="CG81" i="6"/>
  <c r="AY81" i="6" s="1"/>
  <c r="CU81" i="6"/>
  <c r="CB49" i="6"/>
  <c r="CT49" i="6"/>
  <c r="CI49" i="6"/>
  <c r="CH49" i="6"/>
  <c r="CG49" i="6"/>
  <c r="CV49" i="6"/>
  <c r="CU49" i="6"/>
  <c r="AY90" i="6"/>
  <c r="CI32" i="6"/>
  <c r="CV32" i="6"/>
  <c r="CH32" i="6"/>
  <c r="CU32" i="6"/>
  <c r="CG32" i="6"/>
  <c r="CB32" i="6"/>
  <c r="CT32" i="6"/>
  <c r="CI96" i="6"/>
  <c r="CU96" i="6"/>
  <c r="CT96" i="6"/>
  <c r="CV96" i="6"/>
  <c r="CH96" i="6"/>
  <c r="CG96" i="6"/>
  <c r="AY96" i="6" s="1"/>
  <c r="AY80" i="6"/>
  <c r="CI108" i="6"/>
  <c r="AY108" i="6" s="1"/>
  <c r="CV108" i="6"/>
  <c r="CI103" i="6"/>
  <c r="CH103" i="6"/>
  <c r="AY103" i="6" s="1"/>
  <c r="CV103" i="6"/>
  <c r="CG103" i="6"/>
  <c r="CU103" i="6"/>
  <c r="CT103" i="6"/>
  <c r="CU95" i="6"/>
  <c r="CT95" i="6"/>
  <c r="CI95" i="6"/>
  <c r="CG95" i="6"/>
  <c r="AY95" i="6" s="1"/>
  <c r="CV95" i="6"/>
  <c r="CH95" i="6"/>
  <c r="AY89" i="6"/>
  <c r="CT39" i="6"/>
  <c r="CB39" i="6"/>
  <c r="AY39" i="6" s="1"/>
  <c r="CI39" i="6"/>
  <c r="CH39" i="6"/>
  <c r="CV39" i="6"/>
  <c r="CG39" i="6"/>
  <c r="CU39" i="6"/>
  <c r="CI107" i="6"/>
  <c r="AY107" i="6" s="1"/>
  <c r="CV107" i="6"/>
  <c r="AY46" i="6"/>
  <c r="CI56" i="6"/>
  <c r="CB56" i="6"/>
  <c r="AY56" i="6" s="1"/>
  <c r="CV56" i="6"/>
  <c r="CU56" i="6"/>
  <c r="CT56" i="6"/>
  <c r="CH56" i="6"/>
  <c r="CG56" i="6"/>
  <c r="CV84" i="6"/>
  <c r="CT84" i="6"/>
  <c r="CI84" i="6"/>
  <c r="CH84" i="6"/>
  <c r="CG84" i="6"/>
  <c r="AY84" i="6" s="1"/>
  <c r="CU84" i="6"/>
  <c r="CV36" i="6"/>
  <c r="CG36" i="6"/>
  <c r="CI36" i="6"/>
  <c r="CH36" i="6"/>
  <c r="AY36" i="6" s="1"/>
  <c r="CU36" i="6"/>
  <c r="CT36" i="6"/>
  <c r="AY116" i="6"/>
  <c r="CI104" i="6"/>
  <c r="CH104" i="6"/>
  <c r="AY104" i="6" s="1"/>
  <c r="CV104" i="6"/>
  <c r="CG104" i="6"/>
  <c r="CU104" i="6"/>
  <c r="CT104" i="6"/>
  <c r="CH97" i="6"/>
  <c r="CG97" i="6"/>
  <c r="CV97" i="6"/>
  <c r="CT97" i="6"/>
  <c r="CU97" i="6"/>
  <c r="CI97" i="6"/>
  <c r="AY77" i="6"/>
  <c r="CI102" i="6"/>
  <c r="CH102" i="6"/>
  <c r="AY102" i="6" s="1"/>
  <c r="CV102" i="6"/>
  <c r="CG102" i="6"/>
  <c r="CU102" i="6"/>
  <c r="CT102" i="6"/>
  <c r="CI27" i="6"/>
  <c r="CV27" i="6"/>
  <c r="CH27" i="6"/>
  <c r="CB27" i="6"/>
  <c r="AY27" i="6" s="1"/>
  <c r="CG27" i="6"/>
  <c r="CU27" i="6"/>
  <c r="CT27" i="6"/>
  <c r="CI106" i="6"/>
  <c r="AY106" i="6" s="1"/>
  <c r="CV106" i="6"/>
  <c r="CH99" i="6"/>
  <c r="CU99" i="6"/>
  <c r="CT99" i="6"/>
  <c r="CV99" i="6"/>
  <c r="CI99" i="6"/>
  <c r="CG99" i="6"/>
  <c r="AY99" i="6" s="1"/>
  <c r="CI88" i="6"/>
  <c r="AY88" i="6" s="1"/>
  <c r="CG88" i="6"/>
  <c r="CU88" i="6"/>
  <c r="CV88" i="6"/>
  <c r="CT88" i="6"/>
  <c r="CH88" i="6"/>
  <c r="CB52" i="6"/>
  <c r="AY52" i="6" s="1"/>
  <c r="CI52" i="6"/>
  <c r="CH52" i="6"/>
  <c r="CU52" i="6"/>
  <c r="CT52" i="6"/>
  <c r="CG52" i="6"/>
  <c r="CV52" i="6"/>
  <c r="CT87" i="6"/>
  <c r="CV87" i="6"/>
  <c r="CH87" i="6"/>
  <c r="CG87" i="6"/>
  <c r="AY87" i="6" s="1"/>
  <c r="CU87" i="6"/>
  <c r="CI87" i="6"/>
  <c r="CV111" i="6"/>
  <c r="CG111" i="6"/>
  <c r="AY111" i="6" s="1"/>
  <c r="CU111" i="6"/>
  <c r="CT111" i="6"/>
  <c r="CH111" i="6"/>
  <c r="CI111" i="6"/>
  <c r="CV92" i="6"/>
  <c r="CG92" i="6"/>
  <c r="AY92" i="6" s="1"/>
  <c r="CH92" i="6"/>
  <c r="CT92" i="6"/>
  <c r="CI92" i="6"/>
  <c r="CU92" i="6"/>
  <c r="AY94" i="6"/>
  <c r="AY85" i="6"/>
  <c r="AY54" i="6"/>
  <c r="AY17" i="6"/>
  <c r="CB24" i="6"/>
  <c r="AY24" i="6" s="1"/>
  <c r="CH24" i="6"/>
  <c r="CI24" i="6"/>
  <c r="CG24" i="6"/>
  <c r="CV24" i="6"/>
  <c r="CU24" i="6"/>
  <c r="CT24" i="6"/>
  <c r="AY25" i="6"/>
  <c r="AY55" i="6" l="1"/>
  <c r="AY115" i="6"/>
  <c r="AY105" i="6"/>
  <c r="AY49" i="6"/>
  <c r="AY50" i="6"/>
  <c r="AY91" i="6"/>
  <c r="AY53" i="6"/>
  <c r="AY28" i="6"/>
  <c r="AY31" i="6"/>
  <c r="AY97" i="6"/>
  <c r="AY112" i="6"/>
  <c r="AK96" i="4"/>
  <c r="AJ96" i="4"/>
  <c r="AI96" i="4"/>
  <c r="AH96" i="4"/>
  <c r="AG96" i="4"/>
  <c r="AF96" i="4"/>
  <c r="AE96" i="4"/>
  <c r="AD96" i="4"/>
  <c r="AC96" i="4"/>
  <c r="AB96" i="4"/>
  <c r="AA96" i="4"/>
  <c r="Z96" i="4"/>
  <c r="Y96" i="4"/>
  <c r="X96" i="4"/>
  <c r="W96" i="4"/>
  <c r="V96" i="4"/>
  <c r="U96" i="4"/>
  <c r="T96" i="4"/>
  <c r="S96" i="4"/>
  <c r="R96" i="4"/>
  <c r="Q96" i="4"/>
  <c r="P96" i="4"/>
  <c r="O96" i="4"/>
  <c r="N96" i="4"/>
  <c r="M96" i="4"/>
  <c r="L96" i="4"/>
  <c r="K96" i="4"/>
  <c r="J96" i="4"/>
  <c r="I96" i="4"/>
  <c r="H96" i="4"/>
  <c r="G96" i="4"/>
  <c r="E96" i="4" s="1"/>
  <c r="F96" i="4"/>
  <c r="D96" i="4" s="1"/>
  <c r="DN95" i="4"/>
  <c r="DM95" i="4"/>
  <c r="DL95" i="4"/>
  <c r="DK95" i="4"/>
  <c r="CD95" i="4"/>
  <c r="CC95" i="4"/>
  <c r="CB95" i="4"/>
  <c r="CA95" i="4"/>
  <c r="AL95" i="4" s="1"/>
  <c r="E95" i="4"/>
  <c r="D95" i="4"/>
  <c r="C95" i="4"/>
  <c r="DN94" i="4"/>
  <c r="DM94" i="4"/>
  <c r="DL94" i="4"/>
  <c r="DK94" i="4"/>
  <c r="CD94" i="4"/>
  <c r="CC94" i="4"/>
  <c r="CB94" i="4"/>
  <c r="CA94" i="4"/>
  <c r="AL94" i="4" s="1"/>
  <c r="E94" i="4"/>
  <c r="D94" i="4"/>
  <c r="C94" i="4"/>
  <c r="DN93" i="4"/>
  <c r="DM93" i="4"/>
  <c r="DL93" i="4"/>
  <c r="DK93" i="4"/>
  <c r="CD93" i="4"/>
  <c r="CC93" i="4"/>
  <c r="CB93" i="4"/>
  <c r="CA93" i="4"/>
  <c r="AL93" i="4" s="1"/>
  <c r="E93" i="4"/>
  <c r="D93" i="4"/>
  <c r="C93" i="4"/>
  <c r="DN92" i="4"/>
  <c r="DM92" i="4"/>
  <c r="DL92" i="4"/>
  <c r="DK92" i="4"/>
  <c r="CD92" i="4"/>
  <c r="CC92" i="4"/>
  <c r="CB92" i="4"/>
  <c r="CA92" i="4"/>
  <c r="E92" i="4"/>
  <c r="D92" i="4"/>
  <c r="C92" i="4"/>
  <c r="DN91" i="4"/>
  <c r="DM91" i="4"/>
  <c r="DL91" i="4"/>
  <c r="DK91" i="4"/>
  <c r="CD91" i="4"/>
  <c r="CC91" i="4"/>
  <c r="CB91" i="4"/>
  <c r="CA91" i="4"/>
  <c r="E91" i="4"/>
  <c r="D91" i="4"/>
  <c r="C91" i="4"/>
  <c r="DN90" i="4"/>
  <c r="DM90" i="4"/>
  <c r="DL90" i="4"/>
  <c r="DK90" i="4"/>
  <c r="CD90" i="4"/>
  <c r="CC90" i="4"/>
  <c r="CB90" i="4"/>
  <c r="CA90" i="4"/>
  <c r="E90" i="4"/>
  <c r="D90" i="4"/>
  <c r="C90"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L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B89" i="4"/>
  <c r="E89" i="4"/>
  <c r="D89" i="4"/>
  <c r="CC89" i="4" s="1"/>
  <c r="E88" i="4"/>
  <c r="CD88" i="4" s="1"/>
  <c r="D88" i="4"/>
  <c r="DK88" i="4" s="1"/>
  <c r="CD87" i="4"/>
  <c r="E87" i="4"/>
  <c r="CB87" i="4" s="1"/>
  <c r="D87" i="4"/>
  <c r="DK87" i="4" s="1"/>
  <c r="DM86" i="4"/>
  <c r="CD86" i="4"/>
  <c r="CC86" i="4"/>
  <c r="CB86" i="4"/>
  <c r="CA86" i="4"/>
  <c r="AL86" i="4" s="1"/>
  <c r="E86" i="4"/>
  <c r="D86" i="4"/>
  <c r="DK86" i="4" s="1"/>
  <c r="CD85" i="4"/>
  <c r="CB85" i="4"/>
  <c r="CA85" i="4"/>
  <c r="E85" i="4"/>
  <c r="D85" i="4"/>
  <c r="DK85" i="4" s="1"/>
  <c r="E84" i="4"/>
  <c r="CD84" i="4" s="1"/>
  <c r="D84" i="4"/>
  <c r="DK84" i="4" s="1"/>
  <c r="CD83" i="4"/>
  <c r="E83" i="4"/>
  <c r="CB83" i="4" s="1"/>
  <c r="D83" i="4"/>
  <c r="DK83" i="4" s="1"/>
  <c r="DM82" i="4"/>
  <c r="CD82" i="4"/>
  <c r="CC82" i="4"/>
  <c r="CB82" i="4"/>
  <c r="CA82" i="4"/>
  <c r="AL82" i="4" s="1"/>
  <c r="E82" i="4"/>
  <c r="D82" i="4"/>
  <c r="DK82" i="4" s="1"/>
  <c r="CD80" i="4"/>
  <c r="CB80" i="4"/>
  <c r="CA80" i="4"/>
  <c r="E80" i="4"/>
  <c r="D80" i="4"/>
  <c r="DK80" i="4" s="1"/>
  <c r="E79" i="4"/>
  <c r="CD79" i="4" s="1"/>
  <c r="D79" i="4"/>
  <c r="DK79" i="4" s="1"/>
  <c r="CD78" i="4"/>
  <c r="E78" i="4"/>
  <c r="CB78" i="4" s="1"/>
  <c r="D78" i="4"/>
  <c r="DK78" i="4" s="1"/>
  <c r="DM77" i="4"/>
  <c r="CD77" i="4"/>
  <c r="CC77" i="4"/>
  <c r="CB77" i="4"/>
  <c r="CA77" i="4"/>
  <c r="AL77" i="4" s="1"/>
  <c r="E77" i="4"/>
  <c r="D77" i="4"/>
  <c r="DK77" i="4" s="1"/>
  <c r="CD76" i="4"/>
  <c r="CB76" i="4"/>
  <c r="CA76" i="4"/>
  <c r="E76" i="4"/>
  <c r="D76" i="4"/>
  <c r="DK76" i="4" s="1"/>
  <c r="E75" i="4"/>
  <c r="CD75" i="4" s="1"/>
  <c r="D75" i="4"/>
  <c r="DK75" i="4" s="1"/>
  <c r="CD73" i="4"/>
  <c r="E73" i="4"/>
  <c r="CB73" i="4" s="1"/>
  <c r="D73" i="4"/>
  <c r="DK73" i="4" s="1"/>
  <c r="DM72" i="4"/>
  <c r="CD72" i="4"/>
  <c r="CC72" i="4"/>
  <c r="CB72" i="4"/>
  <c r="CA72" i="4"/>
  <c r="AL72" i="4" s="1"/>
  <c r="E72" i="4"/>
  <c r="D72" i="4"/>
  <c r="DK72" i="4" s="1"/>
  <c r="CD71" i="4"/>
  <c r="CB71" i="4"/>
  <c r="CA71" i="4"/>
  <c r="E71" i="4"/>
  <c r="D71" i="4"/>
  <c r="DK71" i="4" s="1"/>
  <c r="E70" i="4"/>
  <c r="CD70" i="4" s="1"/>
  <c r="D70" i="4"/>
  <c r="DK70" i="4" s="1"/>
  <c r="CD69" i="4"/>
  <c r="E69" i="4"/>
  <c r="CB69" i="4" s="1"/>
  <c r="D69" i="4"/>
  <c r="DK69" i="4" s="1"/>
  <c r="DM68" i="4"/>
  <c r="CD68" i="4"/>
  <c r="CC68" i="4"/>
  <c r="CB68" i="4"/>
  <c r="CA68" i="4"/>
  <c r="AL68" i="4" s="1"/>
  <c r="E68" i="4"/>
  <c r="D68" i="4"/>
  <c r="DK68" i="4" s="1"/>
  <c r="CD67" i="4"/>
  <c r="CB67" i="4"/>
  <c r="CA67" i="4"/>
  <c r="E67" i="4"/>
  <c r="D67" i="4"/>
  <c r="DK67" i="4" s="1"/>
  <c r="E66" i="4"/>
  <c r="CD66" i="4" s="1"/>
  <c r="D66" i="4"/>
  <c r="DK66" i="4" s="1"/>
  <c r="CD65" i="4"/>
  <c r="E65" i="4"/>
  <c r="CB65" i="4" s="1"/>
  <c r="D65" i="4"/>
  <c r="DK65" i="4" s="1"/>
  <c r="DM64" i="4"/>
  <c r="CD64" i="4"/>
  <c r="CC64" i="4"/>
  <c r="CB64" i="4"/>
  <c r="CA64" i="4"/>
  <c r="AL64" i="4" s="1"/>
  <c r="E64" i="4"/>
  <c r="D64" i="4"/>
  <c r="DK64" i="4" s="1"/>
  <c r="DM63" i="4"/>
  <c r="DK63" i="4"/>
  <c r="CC63" i="4"/>
  <c r="CB63" i="4"/>
  <c r="CA63" i="4"/>
  <c r="E63" i="4"/>
  <c r="C63" i="4" s="1"/>
  <c r="D63" i="4"/>
  <c r="CC62" i="4"/>
  <c r="CA62" i="4"/>
  <c r="E62" i="4"/>
  <c r="C62" i="4" s="1"/>
  <c r="D62" i="4"/>
  <c r="DK62" i="4" s="1"/>
  <c r="E61" i="4"/>
  <c r="CD61" i="4" s="1"/>
  <c r="D61" i="4"/>
  <c r="CC61" i="4" s="1"/>
  <c r="DM60" i="4"/>
  <c r="DK60" i="4"/>
  <c r="CC60" i="4"/>
  <c r="E60" i="4"/>
  <c r="CD60" i="4" s="1"/>
  <c r="D60" i="4"/>
  <c r="CA60" i="4" s="1"/>
  <c r="C60" i="4"/>
  <c r="DM59" i="4"/>
  <c r="DK59" i="4"/>
  <c r="CD59" i="4"/>
  <c r="CC59" i="4"/>
  <c r="CB59" i="4"/>
  <c r="E59" i="4"/>
  <c r="D59" i="4"/>
  <c r="CA59" i="4" s="1"/>
  <c r="AL59" i="4" s="1"/>
  <c r="C59" i="4"/>
  <c r="DK58" i="4"/>
  <c r="CD58" i="4"/>
  <c r="CC58" i="4"/>
  <c r="CB58" i="4"/>
  <c r="CA58" i="4"/>
  <c r="AL58" i="4" s="1"/>
  <c r="E58" i="4"/>
  <c r="D58" i="4"/>
  <c r="C58" i="4" s="1"/>
  <c r="DM57" i="4"/>
  <c r="DK57" i="4"/>
  <c r="CC57" i="4"/>
  <c r="CB57" i="4"/>
  <c r="CA57" i="4"/>
  <c r="E57" i="4"/>
  <c r="C57" i="4" s="1"/>
  <c r="D57" i="4"/>
  <c r="CC56" i="4"/>
  <c r="CA56" i="4"/>
  <c r="E56" i="4"/>
  <c r="C56" i="4" s="1"/>
  <c r="D56" i="4"/>
  <c r="DK56" i="4" s="1"/>
  <c r="E55" i="4"/>
  <c r="CD55" i="4" s="1"/>
  <c r="D55" i="4"/>
  <c r="CC55" i="4" s="1"/>
  <c r="DM54" i="4"/>
  <c r="DK54" i="4"/>
  <c r="CC54" i="4"/>
  <c r="E54" i="4"/>
  <c r="D54" i="4"/>
  <c r="CA54" i="4" s="1"/>
  <c r="C54" i="4"/>
  <c r="DM53" i="4"/>
  <c r="DK53" i="4"/>
  <c r="CD53" i="4"/>
  <c r="CC53" i="4"/>
  <c r="CB53" i="4"/>
  <c r="E53" i="4"/>
  <c r="D53" i="4"/>
  <c r="CA53" i="4" s="1"/>
  <c r="AL53" i="4" s="1"/>
  <c r="C53" i="4"/>
  <c r="DK52" i="4"/>
  <c r="CD52" i="4"/>
  <c r="CC52" i="4"/>
  <c r="CB52" i="4"/>
  <c r="CA52" i="4"/>
  <c r="AL52" i="4" s="1"/>
  <c r="E52" i="4"/>
  <c r="D52" i="4"/>
  <c r="DM52" i="4" s="1"/>
  <c r="DL51" i="4"/>
  <c r="CD51" i="4"/>
  <c r="CB51" i="4"/>
  <c r="CA51" i="4"/>
  <c r="E51" i="4"/>
  <c r="DN51" i="4" s="1"/>
  <c r="D51" i="4"/>
  <c r="C51" i="4" s="1"/>
  <c r="E50" i="4"/>
  <c r="CD50" i="4" s="1"/>
  <c r="D50" i="4"/>
  <c r="C50" i="4" s="1"/>
  <c r="DN49" i="4"/>
  <c r="DL49" i="4"/>
  <c r="CD49" i="4"/>
  <c r="E49" i="4"/>
  <c r="CB49" i="4" s="1"/>
  <c r="D49" i="4"/>
  <c r="CC49" i="4" s="1"/>
  <c r="C49" i="4"/>
  <c r="DN48" i="4"/>
  <c r="CD48" i="4"/>
  <c r="E48" i="4"/>
  <c r="DL48" i="4" s="1"/>
  <c r="D48" i="4"/>
  <c r="C48" i="4" s="1"/>
  <c r="DP42" i="4"/>
  <c r="DN42" i="4"/>
  <c r="DL42" i="4"/>
  <c r="CD42" i="4"/>
  <c r="CB42" i="4"/>
  <c r="E42" i="4"/>
  <c r="D42" i="4"/>
  <c r="DO42" i="4" s="1"/>
  <c r="C42" i="4"/>
  <c r="ER41" i="4"/>
  <c r="EQ41" i="4"/>
  <c r="EP41" i="4"/>
  <c r="EO41" i="4"/>
  <c r="EN41" i="4"/>
  <c r="EM41" i="4"/>
  <c r="EL41" i="4"/>
  <c r="EK41" i="4"/>
  <c r="EJ41" i="4"/>
  <c r="EI41" i="4"/>
  <c r="EH41" i="4"/>
  <c r="EG41" i="4"/>
  <c r="EF41" i="4"/>
  <c r="EE41" i="4"/>
  <c r="ED41" i="4"/>
  <c r="EC41" i="4"/>
  <c r="EB41" i="4"/>
  <c r="EA41" i="4"/>
  <c r="DZ41" i="4"/>
  <c r="DY41" i="4"/>
  <c r="DX41" i="4"/>
  <c r="DW41" i="4"/>
  <c r="DV41" i="4"/>
  <c r="DU41" i="4"/>
  <c r="DT41" i="4"/>
  <c r="DS41" i="4"/>
  <c r="DR41" i="4"/>
  <c r="DQ41" i="4"/>
  <c r="DO41" i="4"/>
  <c r="DN41" i="4"/>
  <c r="DF41" i="4"/>
  <c r="DE41" i="4"/>
  <c r="DD41" i="4"/>
  <c r="DC41" i="4"/>
  <c r="DB41" i="4"/>
  <c r="DA41" i="4"/>
  <c r="CZ41" i="4"/>
  <c r="CY41" i="4"/>
  <c r="CX41" i="4"/>
  <c r="CW41" i="4"/>
  <c r="CV41" i="4"/>
  <c r="CU41" i="4"/>
  <c r="CT41" i="4"/>
  <c r="CS41" i="4"/>
  <c r="CR41" i="4"/>
  <c r="CQ41" i="4"/>
  <c r="CP41" i="4"/>
  <c r="CO41" i="4"/>
  <c r="CN41" i="4"/>
  <c r="CM41" i="4"/>
  <c r="CL41" i="4"/>
  <c r="CK41" i="4"/>
  <c r="CJ41" i="4"/>
  <c r="CI41" i="4"/>
  <c r="CH41" i="4"/>
  <c r="CG41" i="4"/>
  <c r="CF41" i="4"/>
  <c r="CE41" i="4"/>
  <c r="CC41" i="4"/>
  <c r="CB41" i="4"/>
  <c r="CA41" i="4"/>
  <c r="E41" i="4"/>
  <c r="CD41" i="4" s="1"/>
  <c r="D41" i="4"/>
  <c r="DK41" i="4" s="1"/>
  <c r="ER40" i="4"/>
  <c r="EQ40" i="4"/>
  <c r="EP40" i="4"/>
  <c r="EO40" i="4"/>
  <c r="EN40" i="4"/>
  <c r="EM40" i="4"/>
  <c r="EL40" i="4"/>
  <c r="EK40" i="4"/>
  <c r="EJ40" i="4"/>
  <c r="EI40" i="4"/>
  <c r="EH40" i="4"/>
  <c r="EG40" i="4"/>
  <c r="EF40" i="4"/>
  <c r="EE40" i="4"/>
  <c r="ED40" i="4"/>
  <c r="EC40" i="4"/>
  <c r="EB40" i="4"/>
  <c r="EA40" i="4"/>
  <c r="DZ40" i="4"/>
  <c r="DY40" i="4"/>
  <c r="DX40" i="4"/>
  <c r="DW40" i="4"/>
  <c r="DV40" i="4"/>
  <c r="DU40" i="4"/>
  <c r="DT40" i="4"/>
  <c r="DS40" i="4"/>
  <c r="DR40" i="4"/>
  <c r="DQ40" i="4"/>
  <c r="DN40" i="4"/>
  <c r="DM40" i="4"/>
  <c r="DL40" i="4"/>
  <c r="DF40" i="4"/>
  <c r="DE40"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E40" i="4"/>
  <c r="CD40" i="4" s="1"/>
  <c r="D40" i="4"/>
  <c r="C40" i="4"/>
  <c r="DP39" i="4"/>
  <c r="DO39" i="4"/>
  <c r="DN39" i="4"/>
  <c r="DM39" i="4"/>
  <c r="E39" i="4"/>
  <c r="D39" i="4"/>
  <c r="CA39" i="4" s="1"/>
  <c r="ER38" i="4"/>
  <c r="EQ38" i="4"/>
  <c r="EP38" i="4"/>
  <c r="EO38" i="4"/>
  <c r="EN38" i="4"/>
  <c r="EM38" i="4"/>
  <c r="EL38" i="4"/>
  <c r="EK38" i="4"/>
  <c r="EJ38" i="4"/>
  <c r="EI38" i="4"/>
  <c r="EH38" i="4"/>
  <c r="EG38" i="4"/>
  <c r="EF38" i="4"/>
  <c r="EE38" i="4"/>
  <c r="ED38" i="4"/>
  <c r="EC38" i="4"/>
  <c r="EB38" i="4"/>
  <c r="EA38" i="4"/>
  <c r="DZ38" i="4"/>
  <c r="DY38" i="4"/>
  <c r="DX38" i="4"/>
  <c r="DW38" i="4"/>
  <c r="DV38" i="4"/>
  <c r="DU38" i="4"/>
  <c r="DT38" i="4"/>
  <c r="DS38" i="4"/>
  <c r="DR38" i="4"/>
  <c r="DQ38" i="4"/>
  <c r="DP38" i="4"/>
  <c r="DO38" i="4"/>
  <c r="DN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E38" i="4"/>
  <c r="DK38" i="4" s="1"/>
  <c r="D38" i="4"/>
  <c r="ER37" i="4"/>
  <c r="EQ37" i="4"/>
  <c r="EP37" i="4"/>
  <c r="EO37" i="4"/>
  <c r="EN37" i="4"/>
  <c r="EM37" i="4"/>
  <c r="EL37" i="4"/>
  <c r="EK37" i="4"/>
  <c r="EJ37" i="4"/>
  <c r="EI37" i="4"/>
  <c r="EH37" i="4"/>
  <c r="EG37" i="4"/>
  <c r="EF37" i="4"/>
  <c r="EE37" i="4"/>
  <c r="ED37" i="4"/>
  <c r="EC37" i="4"/>
  <c r="EB37" i="4"/>
  <c r="EA37" i="4"/>
  <c r="DZ37" i="4"/>
  <c r="DY37" i="4"/>
  <c r="DX37" i="4"/>
  <c r="DW37" i="4"/>
  <c r="DV37" i="4"/>
  <c r="DU37" i="4"/>
  <c r="DT37" i="4"/>
  <c r="DS37" i="4"/>
  <c r="DR37" i="4"/>
  <c r="DQ37" i="4"/>
  <c r="DO37" i="4"/>
  <c r="DN37" i="4"/>
  <c r="DM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A37" i="4"/>
  <c r="E37" i="4"/>
  <c r="DP37" i="4" s="1"/>
  <c r="D37" i="4"/>
  <c r="CC37" i="4" s="1"/>
  <c r="DN36" i="4"/>
  <c r="CA36" i="4"/>
  <c r="E36" i="4"/>
  <c r="DK36" i="4" s="1"/>
  <c r="D36" i="4"/>
  <c r="DM41" i="4" s="1"/>
  <c r="ER35" i="4"/>
  <c r="EQ35" i="4"/>
  <c r="EP35" i="4"/>
  <c r="EO35" i="4"/>
  <c r="EN35" i="4"/>
  <c r="EM35" i="4"/>
  <c r="EL35" i="4"/>
  <c r="EK35" i="4"/>
  <c r="EJ35" i="4"/>
  <c r="EI35" i="4"/>
  <c r="EH35" i="4"/>
  <c r="EG35" i="4"/>
  <c r="EF35" i="4"/>
  <c r="EE35" i="4"/>
  <c r="ED35" i="4"/>
  <c r="EC35" i="4"/>
  <c r="EB35" i="4"/>
  <c r="EA35" i="4"/>
  <c r="DZ35" i="4"/>
  <c r="DY35" i="4"/>
  <c r="DX35" i="4"/>
  <c r="DW35" i="4"/>
  <c r="DV35" i="4"/>
  <c r="DU35" i="4"/>
  <c r="DT35" i="4"/>
  <c r="DS35" i="4"/>
  <c r="DR35" i="4"/>
  <c r="DQ35" i="4"/>
  <c r="DP35" i="4"/>
  <c r="DN35" i="4"/>
  <c r="DM35" i="4"/>
  <c r="DL35" i="4"/>
  <c r="DK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B35" i="4"/>
  <c r="E35" i="4"/>
  <c r="D35" i="4"/>
  <c r="CC35" i="4" s="1"/>
  <c r="C35" i="4"/>
  <c r="ER34" i="4"/>
  <c r="EQ34" i="4"/>
  <c r="EP34" i="4"/>
  <c r="EO34" i="4"/>
  <c r="EN34" i="4"/>
  <c r="EM34" i="4"/>
  <c r="EL34" i="4"/>
  <c r="EK34" i="4"/>
  <c r="EJ34" i="4"/>
  <c r="EI34" i="4"/>
  <c r="EH34" i="4"/>
  <c r="EG34" i="4"/>
  <c r="EF34" i="4"/>
  <c r="EE34" i="4"/>
  <c r="ED34" i="4"/>
  <c r="EC34" i="4"/>
  <c r="EB34" i="4"/>
  <c r="EA34" i="4"/>
  <c r="DZ34" i="4"/>
  <c r="DY34" i="4"/>
  <c r="DX34" i="4"/>
  <c r="DW34" i="4"/>
  <c r="DV34" i="4"/>
  <c r="DU34" i="4"/>
  <c r="DT34" i="4"/>
  <c r="DS34" i="4"/>
  <c r="DR34" i="4"/>
  <c r="DQ34" i="4"/>
  <c r="DO34" i="4"/>
  <c r="DN34" i="4"/>
  <c r="DM34" i="4"/>
  <c r="DL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A34" i="4"/>
  <c r="E34" i="4"/>
  <c r="DK34" i="4" s="1"/>
  <c r="D34" i="4"/>
  <c r="CC34" i="4" s="1"/>
  <c r="C34" i="4"/>
  <c r="ER33" i="4"/>
  <c r="EQ33" i="4"/>
  <c r="EP33" i="4"/>
  <c r="EO33" i="4"/>
  <c r="EN33" i="4"/>
  <c r="EM33" i="4"/>
  <c r="EL33" i="4"/>
  <c r="EK33" i="4"/>
  <c r="EJ33" i="4"/>
  <c r="EI33" i="4"/>
  <c r="EH33" i="4"/>
  <c r="EG33" i="4"/>
  <c r="EF33" i="4"/>
  <c r="EE33" i="4"/>
  <c r="ED33" i="4"/>
  <c r="EC33" i="4"/>
  <c r="EB33" i="4"/>
  <c r="EA33" i="4"/>
  <c r="DZ33" i="4"/>
  <c r="DY33" i="4"/>
  <c r="DX33" i="4"/>
  <c r="DW33" i="4"/>
  <c r="DV33" i="4"/>
  <c r="DU33" i="4"/>
  <c r="DT33" i="4"/>
  <c r="DS33" i="4"/>
  <c r="DR33" i="4"/>
  <c r="DQ33" i="4"/>
  <c r="DP33" i="4"/>
  <c r="DF33" i="4"/>
  <c r="DE33" i="4"/>
  <c r="DD33" i="4"/>
  <c r="DC33" i="4"/>
  <c r="DB33" i="4"/>
  <c r="DA33" i="4"/>
  <c r="CZ33" i="4"/>
  <c r="CY33" i="4"/>
  <c r="CX33" i="4"/>
  <c r="CW33" i="4"/>
  <c r="CV33" i="4"/>
  <c r="CU33" i="4"/>
  <c r="CT33" i="4"/>
  <c r="CS33" i="4"/>
  <c r="CR33" i="4"/>
  <c r="CQ33" i="4"/>
  <c r="CP33" i="4"/>
  <c r="CO33" i="4"/>
  <c r="CN33" i="4"/>
  <c r="CM33" i="4"/>
  <c r="CL33" i="4"/>
  <c r="CK33" i="4"/>
  <c r="CJ33" i="4"/>
  <c r="CI33" i="4"/>
  <c r="CH33" i="4"/>
  <c r="CG33" i="4"/>
  <c r="CF33" i="4"/>
  <c r="CE33" i="4"/>
  <c r="CD33" i="4"/>
  <c r="CB33" i="4"/>
  <c r="CA33" i="4"/>
  <c r="E33" i="4"/>
  <c r="D33" i="4"/>
  <c r="CC33" i="4" s="1"/>
  <c r="EP32" i="4"/>
  <c r="EO32" i="4"/>
  <c r="EN32" i="4"/>
  <c r="EM32" i="4"/>
  <c r="EL32" i="4"/>
  <c r="EK32" i="4"/>
  <c r="EJ32" i="4"/>
  <c r="EI32" i="4"/>
  <c r="EH32" i="4"/>
  <c r="EG32" i="4"/>
  <c r="EF32" i="4"/>
  <c r="EE32" i="4"/>
  <c r="ED32" i="4"/>
  <c r="EC32" i="4"/>
  <c r="EB32" i="4"/>
  <c r="EA32" i="4"/>
  <c r="DZ32" i="4"/>
  <c r="DY32" i="4"/>
  <c r="DX32" i="4"/>
  <c r="DW32" i="4"/>
  <c r="DV32" i="4"/>
  <c r="DU32" i="4"/>
  <c r="DT32" i="4"/>
  <c r="DS32" i="4"/>
  <c r="DR32" i="4"/>
  <c r="DQ32" i="4"/>
  <c r="DN32" i="4"/>
  <c r="DL32" i="4"/>
  <c r="DK32" i="4"/>
  <c r="DD32" i="4"/>
  <c r="DC32" i="4"/>
  <c r="DB32" i="4"/>
  <c r="DA32" i="4"/>
  <c r="CZ32" i="4"/>
  <c r="CY32" i="4"/>
  <c r="CX32" i="4"/>
  <c r="CW32" i="4"/>
  <c r="CV32" i="4"/>
  <c r="CU32" i="4"/>
  <c r="CT32" i="4"/>
  <c r="CS32" i="4"/>
  <c r="CR32" i="4"/>
  <c r="CQ32" i="4"/>
  <c r="CP32" i="4"/>
  <c r="CO32" i="4"/>
  <c r="CN32" i="4"/>
  <c r="CM32" i="4"/>
  <c r="CL32" i="4"/>
  <c r="CK32" i="4"/>
  <c r="CJ32" i="4"/>
  <c r="CI32" i="4"/>
  <c r="CH32" i="4"/>
  <c r="CG32" i="4"/>
  <c r="CF32" i="4"/>
  <c r="CE32" i="4"/>
  <c r="CD32" i="4"/>
  <c r="CB32" i="4"/>
  <c r="E32" i="4"/>
  <c r="DP32" i="4" s="1"/>
  <c r="D32" i="4"/>
  <c r="DO32" i="4" s="1"/>
  <c r="C32" i="4"/>
  <c r="DP31" i="4"/>
  <c r="DO31" i="4"/>
  <c r="DN31" i="4"/>
  <c r="DM31" i="4"/>
  <c r="CD31" i="4"/>
  <c r="CB31" i="4"/>
  <c r="E31" i="4"/>
  <c r="D31" i="4"/>
  <c r="DL31" i="4" s="1"/>
  <c r="C31" i="4"/>
  <c r="ER30" i="4"/>
  <c r="EQ30" i="4"/>
  <c r="EP30" i="4"/>
  <c r="EO30" i="4"/>
  <c r="EN30" i="4"/>
  <c r="EM30" i="4"/>
  <c r="EL30" i="4"/>
  <c r="EK30" i="4"/>
  <c r="EJ30" i="4"/>
  <c r="EI30" i="4"/>
  <c r="EH30" i="4"/>
  <c r="EG30" i="4"/>
  <c r="EF30" i="4"/>
  <c r="EE30" i="4"/>
  <c r="ED30" i="4"/>
  <c r="EC30" i="4"/>
  <c r="EB30" i="4"/>
  <c r="EA30" i="4"/>
  <c r="DZ30" i="4"/>
  <c r="DY30" i="4"/>
  <c r="DX30" i="4"/>
  <c r="DW30" i="4"/>
  <c r="DV30" i="4"/>
  <c r="DU30" i="4"/>
  <c r="DT30" i="4"/>
  <c r="DS30" i="4"/>
  <c r="DR30" i="4"/>
  <c r="DQ30" i="4"/>
  <c r="DO30" i="4"/>
  <c r="DN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A30" i="4"/>
  <c r="E30" i="4"/>
  <c r="DP30" i="4" s="1"/>
  <c r="D30" i="4"/>
  <c r="CC30" i="4" s="1"/>
  <c r="DN29" i="4"/>
  <c r="DM29" i="4"/>
  <c r="CC29" i="4"/>
  <c r="CA29" i="4"/>
  <c r="E29" i="4"/>
  <c r="CD29" i="4" s="1"/>
  <c r="D29" i="4"/>
  <c r="DO29" i="4" s="1"/>
  <c r="ER28" i="4"/>
  <c r="EQ28" i="4"/>
  <c r="EP28" i="4"/>
  <c r="EO28" i="4"/>
  <c r="EN28" i="4"/>
  <c r="EM28" i="4"/>
  <c r="EL28" i="4"/>
  <c r="EK28" i="4"/>
  <c r="EJ28" i="4"/>
  <c r="EI28" i="4"/>
  <c r="EH28" i="4"/>
  <c r="EG28" i="4"/>
  <c r="EF28" i="4"/>
  <c r="EE28" i="4"/>
  <c r="ED28" i="4"/>
  <c r="EC28" i="4"/>
  <c r="EB28" i="4"/>
  <c r="EA28" i="4"/>
  <c r="DZ28" i="4"/>
  <c r="DY28" i="4"/>
  <c r="DX28" i="4"/>
  <c r="DW28" i="4"/>
  <c r="DV28" i="4"/>
  <c r="DU28" i="4"/>
  <c r="DT28" i="4"/>
  <c r="DS28" i="4"/>
  <c r="DR28" i="4"/>
  <c r="DQ28" i="4"/>
  <c r="DP28" i="4"/>
  <c r="DL28" i="4"/>
  <c r="DK28" i="4"/>
  <c r="DF28" i="4"/>
  <c r="DE28" i="4"/>
  <c r="DD28" i="4"/>
  <c r="DC28" i="4"/>
  <c r="DB28" i="4"/>
  <c r="DA28" i="4"/>
  <c r="CZ28" i="4"/>
  <c r="CY28" i="4"/>
  <c r="CX28" i="4"/>
  <c r="CW28" i="4"/>
  <c r="CV28" i="4"/>
  <c r="CU28" i="4"/>
  <c r="CT28" i="4"/>
  <c r="CS28" i="4"/>
  <c r="CR28" i="4"/>
  <c r="CQ28" i="4"/>
  <c r="CP28" i="4"/>
  <c r="CO28" i="4"/>
  <c r="CN28" i="4"/>
  <c r="CM28" i="4"/>
  <c r="CL28" i="4"/>
  <c r="CK28" i="4"/>
  <c r="CJ28" i="4"/>
  <c r="CI28" i="4"/>
  <c r="CH28" i="4"/>
  <c r="CG28" i="4"/>
  <c r="CF28" i="4"/>
  <c r="CE28" i="4"/>
  <c r="CD28" i="4"/>
  <c r="CB28" i="4"/>
  <c r="E28" i="4"/>
  <c r="DN33" i="4" s="1"/>
  <c r="D28" i="4"/>
  <c r="CC28" i="4" s="1"/>
  <c r="DN23" i="4"/>
  <c r="DM23" i="4"/>
  <c r="DK23" i="4"/>
  <c r="E23" i="4"/>
  <c r="DL23" i="4" s="1"/>
  <c r="D23" i="4"/>
  <c r="C23" i="4" s="1"/>
  <c r="DM22" i="4"/>
  <c r="DL22" i="4"/>
  <c r="DK22" i="4"/>
  <c r="CD22" i="4"/>
  <c r="CC22" i="4"/>
  <c r="CA22" i="4"/>
  <c r="E22" i="4"/>
  <c r="DN22" i="4" s="1"/>
  <c r="D22" i="4"/>
  <c r="DK21" i="4"/>
  <c r="CC21" i="4"/>
  <c r="CA21" i="4"/>
  <c r="E21" i="4"/>
  <c r="DN21" i="4" s="1"/>
  <c r="D21" i="4"/>
  <c r="DM21" i="4" s="1"/>
  <c r="CA20" i="4"/>
  <c r="E20" i="4"/>
  <c r="DL20" i="4" s="1"/>
  <c r="D20" i="4"/>
  <c r="DM20" i="4" s="1"/>
  <c r="C20" i="4"/>
  <c r="E19" i="4"/>
  <c r="CD19" i="4" s="1"/>
  <c r="D19" i="4"/>
  <c r="DK19" i="4" s="1"/>
  <c r="C19" i="4"/>
  <c r="DM18" i="4"/>
  <c r="CA18" i="4"/>
  <c r="E18" i="4"/>
  <c r="CD18" i="4" s="1"/>
  <c r="D18" i="4"/>
  <c r="DK18" i="4" s="1"/>
  <c r="C18" i="4"/>
  <c r="DN17" i="4"/>
  <c r="DM17" i="4"/>
  <c r="DL17" i="4"/>
  <c r="DK17" i="4"/>
  <c r="CD17" i="4"/>
  <c r="CB17" i="4"/>
  <c r="E17" i="4"/>
  <c r="D17" i="4"/>
  <c r="CC17" i="4" s="1"/>
  <c r="C17" i="4"/>
  <c r="DN16" i="4"/>
  <c r="DM16" i="4"/>
  <c r="DL16" i="4"/>
  <c r="DK16" i="4"/>
  <c r="CD16" i="4"/>
  <c r="CC16" i="4"/>
  <c r="E16" i="4"/>
  <c r="CB16" i="4" s="1"/>
  <c r="D16" i="4"/>
  <c r="C16" i="4" s="1"/>
  <c r="DM15" i="4"/>
  <c r="DK15" i="4"/>
  <c r="CC15" i="4"/>
  <c r="E15" i="4"/>
  <c r="DN15" i="4" s="1"/>
  <c r="D15" i="4"/>
  <c r="CA15" i="4" s="1"/>
  <c r="DN14" i="4"/>
  <c r="DL14" i="4"/>
  <c r="CD14" i="4"/>
  <c r="CB14" i="4"/>
  <c r="E14" i="4"/>
  <c r="D14" i="4"/>
  <c r="DM14" i="4" s="1"/>
  <c r="DM13" i="4"/>
  <c r="DK13" i="4"/>
  <c r="CC13" i="4"/>
  <c r="CA13" i="4"/>
  <c r="E13" i="4"/>
  <c r="DL13" i="4" s="1"/>
  <c r="D13" i="4"/>
  <c r="C13" i="4"/>
  <c r="AK12" i="4"/>
  <c r="AJ12" i="4"/>
  <c r="AI12" i="4"/>
  <c r="AH12" i="4"/>
  <c r="AG12" i="4"/>
  <c r="AF12" i="4"/>
  <c r="AE12" i="4"/>
  <c r="AD12" i="4"/>
  <c r="AC12" i="4"/>
  <c r="AB12" i="4"/>
  <c r="AA12" i="4"/>
  <c r="Z12" i="4"/>
  <c r="Y12" i="4"/>
  <c r="X12" i="4"/>
  <c r="W12" i="4"/>
  <c r="V12" i="4"/>
  <c r="U12" i="4"/>
  <c r="T12" i="4"/>
  <c r="S12" i="4"/>
  <c r="R12" i="4"/>
  <c r="Q12" i="4"/>
  <c r="P12" i="4"/>
  <c r="O12" i="4"/>
  <c r="N12" i="4"/>
  <c r="D12" i="4" s="1"/>
  <c r="C12" i="4" s="1"/>
  <c r="M12" i="4"/>
  <c r="L12" i="4"/>
  <c r="K12" i="4"/>
  <c r="J12" i="4"/>
  <c r="I12" i="4"/>
  <c r="H12" i="4"/>
  <c r="G12" i="4"/>
  <c r="F12" i="4"/>
  <c r="E12" i="4"/>
  <c r="AL63" i="4" l="1"/>
  <c r="AL54" i="4"/>
  <c r="AL67" i="4"/>
  <c r="CB30" i="4"/>
  <c r="CB13" i="4"/>
  <c r="DM28" i="4"/>
  <c r="CB36" i="4"/>
  <c r="CD13" i="4"/>
  <c r="DL21" i="4"/>
  <c r="DN54" i="4"/>
  <c r="DL54" i="4"/>
  <c r="CA17" i="4"/>
  <c r="CC18" i="4"/>
  <c r="DL19" i="4"/>
  <c r="DN20" i="4"/>
  <c r="CB23" i="4"/>
  <c r="DP29" i="4"/>
  <c r="DL30" i="4"/>
  <c r="CA31" i="4"/>
  <c r="CA32" i="4"/>
  <c r="DM36" i="4"/>
  <c r="C38" i="4"/>
  <c r="DL38" i="4"/>
  <c r="CC39" i="4"/>
  <c r="DL41" i="4"/>
  <c r="CA42" i="4"/>
  <c r="CA48" i="4"/>
  <c r="AL48" i="4" s="1"/>
  <c r="DL50" i="4"/>
  <c r="CB54" i="4"/>
  <c r="DM56" i="4"/>
  <c r="CB60" i="4"/>
  <c r="AL60" i="4" s="1"/>
  <c r="DM62" i="4"/>
  <c r="CA65" i="4"/>
  <c r="CA69" i="4"/>
  <c r="CA73" i="4"/>
  <c r="AL73" i="4" s="1"/>
  <c r="CA78" i="4"/>
  <c r="AL78" i="4" s="1"/>
  <c r="CA83" i="4"/>
  <c r="CA87" i="4"/>
  <c r="AL87" i="4" s="1"/>
  <c r="AL91" i="4"/>
  <c r="CB29" i="4"/>
  <c r="CD30" i="4"/>
  <c r="CD36" i="4"/>
  <c r="DK20" i="4"/>
  <c r="DN13" i="4"/>
  <c r="C15" i="4"/>
  <c r="DM19" i="4"/>
  <c r="C21" i="4"/>
  <c r="CC23" i="4"/>
  <c r="C30" i="4"/>
  <c r="DM30" i="4"/>
  <c r="DK33" i="4"/>
  <c r="DP34" i="4"/>
  <c r="DK39" i="4"/>
  <c r="C41" i="4"/>
  <c r="CB48" i="4"/>
  <c r="DN50" i="4"/>
  <c r="DN52" i="4"/>
  <c r="DL52" i="4"/>
  <c r="DK55" i="4"/>
  <c r="DN58" i="4"/>
  <c r="DL58" i="4"/>
  <c r="DK61" i="4"/>
  <c r="DN64" i="4"/>
  <c r="DL64" i="4"/>
  <c r="DM66" i="4"/>
  <c r="DN68" i="4"/>
  <c r="DL68" i="4"/>
  <c r="DM70" i="4"/>
  <c r="DN72" i="4"/>
  <c r="DL72" i="4"/>
  <c r="DM75" i="4"/>
  <c r="DN77" i="4"/>
  <c r="DL77" i="4"/>
  <c r="DM79" i="4"/>
  <c r="DN82" i="4"/>
  <c r="DL82" i="4"/>
  <c r="DM84" i="4"/>
  <c r="DN86" i="4"/>
  <c r="DL86" i="4"/>
  <c r="DM88" i="4"/>
  <c r="AL90" i="4"/>
  <c r="CD21" i="4"/>
  <c r="DK29" i="4"/>
  <c r="DM49" i="4"/>
  <c r="DK49" i="4"/>
  <c r="CD20" i="4"/>
  <c r="CA28" i="4"/>
  <c r="C14" i="4"/>
  <c r="A110" i="4" s="1"/>
  <c r="CA16" i="4"/>
  <c r="DL18" i="4"/>
  <c r="DN19" i="4"/>
  <c r="CB22" i="4"/>
  <c r="CD23" i="4"/>
  <c r="CC31" i="4"/>
  <c r="CC32" i="4"/>
  <c r="C33" i="4"/>
  <c r="DL33" i="4"/>
  <c r="CB34" i="4"/>
  <c r="DP36" i="4"/>
  <c r="DK37" i="4"/>
  <c r="DL39" i="4"/>
  <c r="CC42" i="4"/>
  <c r="CC48" i="4"/>
  <c r="CD54" i="4"/>
  <c r="DM55" i="4"/>
  <c r="DM61" i="4"/>
  <c r="CC65" i="4"/>
  <c r="C67" i="4"/>
  <c r="CC69" i="4"/>
  <c r="C71" i="4"/>
  <c r="CC73" i="4"/>
  <c r="C76" i="4"/>
  <c r="CC78" i="4"/>
  <c r="C80" i="4"/>
  <c r="CC83" i="4"/>
  <c r="C85" i="4"/>
  <c r="CC87" i="4"/>
  <c r="C89" i="4"/>
  <c r="DK89" i="4"/>
  <c r="DM33" i="4"/>
  <c r="C37" i="4"/>
  <c r="DM51" i="4"/>
  <c r="DK51" i="4"/>
  <c r="DN63" i="4"/>
  <c r="DL63" i="4"/>
  <c r="C36" i="4"/>
  <c r="DL37" i="4"/>
  <c r="DN57" i="4"/>
  <c r="DL57" i="4"/>
  <c r="CB15" i="4"/>
  <c r="DN18" i="4"/>
  <c r="DK31" i="4"/>
  <c r="DO33" i="4"/>
  <c r="DM42" i="4"/>
  <c r="DM38" i="4"/>
  <c r="DO36" i="4"/>
  <c r="DK40" i="4"/>
  <c r="DP41" i="4"/>
  <c r="DK42" i="4"/>
  <c r="DM65" i="4"/>
  <c r="DN67" i="4"/>
  <c r="DL67" i="4"/>
  <c r="DM69" i="4"/>
  <c r="DN71" i="4"/>
  <c r="DL71" i="4"/>
  <c r="DM73" i="4"/>
  <c r="DN76" i="4"/>
  <c r="DL76" i="4"/>
  <c r="DM78" i="4"/>
  <c r="DN80" i="4"/>
  <c r="DL80" i="4"/>
  <c r="DM83" i="4"/>
  <c r="DN85" i="4"/>
  <c r="DL85" i="4"/>
  <c r="DM87" i="4"/>
  <c r="DM89" i="4"/>
  <c r="C96" i="4"/>
  <c r="CB21" i="4"/>
  <c r="DM50" i="4"/>
  <c r="DK50" i="4"/>
  <c r="C55" i="4"/>
  <c r="DN56" i="4"/>
  <c r="DL56" i="4"/>
  <c r="C61" i="4"/>
  <c r="DN62" i="4"/>
  <c r="DL62" i="4"/>
  <c r="C66" i="4"/>
  <c r="C70" i="4"/>
  <c r="C75" i="4"/>
  <c r="C79" i="4"/>
  <c r="C84" i="4"/>
  <c r="C88" i="4"/>
  <c r="CA14" i="4"/>
  <c r="CA89" i="4"/>
  <c r="AL89" i="4" s="1"/>
  <c r="CD15" i="4"/>
  <c r="DN66" i="4"/>
  <c r="DL66" i="4"/>
  <c r="DN70" i="4"/>
  <c r="DL70" i="4"/>
  <c r="DN88" i="4"/>
  <c r="DL88" i="4"/>
  <c r="DN55" i="4"/>
  <c r="DL55" i="4"/>
  <c r="DN61" i="4"/>
  <c r="DL61" i="4"/>
  <c r="DN75" i="4"/>
  <c r="DL75" i="4"/>
  <c r="DN79" i="4"/>
  <c r="DL79" i="4"/>
  <c r="DN84" i="4"/>
  <c r="DL84" i="4"/>
  <c r="DL15" i="4"/>
  <c r="CA19" i="4"/>
  <c r="CC20" i="4"/>
  <c r="DO28" i="4"/>
  <c r="DL29" i="4"/>
  <c r="DM32" i="4"/>
  <c r="CC36" i="4"/>
  <c r="C39" i="4"/>
  <c r="CC40" i="4"/>
  <c r="DO40" i="4"/>
  <c r="CA40" i="4"/>
  <c r="DP40" i="4"/>
  <c r="CA50" i="4"/>
  <c r="CC51" i="4"/>
  <c r="AL51" i="4" s="1"/>
  <c r="CB56" i="4"/>
  <c r="AL56" i="4" s="1"/>
  <c r="CD57" i="4"/>
  <c r="AL57" i="4" s="1"/>
  <c r="DM58" i="4"/>
  <c r="CB62" i="4"/>
  <c r="CD63" i="4"/>
  <c r="C65" i="4"/>
  <c r="CC67" i="4"/>
  <c r="C69" i="4"/>
  <c r="CC71" i="4"/>
  <c r="AL71" i="4" s="1"/>
  <c r="C73" i="4"/>
  <c r="CC76" i="4"/>
  <c r="AL76" i="4" s="1"/>
  <c r="C78" i="4"/>
  <c r="CC80" i="4"/>
  <c r="AL80" i="4" s="1"/>
  <c r="C83" i="4"/>
  <c r="CC85" i="4"/>
  <c r="AL85" i="4" s="1"/>
  <c r="C87" i="4"/>
  <c r="CC14" i="4"/>
  <c r="CB20" i="4"/>
  <c r="CB37" i="4"/>
  <c r="CB19" i="4"/>
  <c r="CA35" i="4"/>
  <c r="CD37" i="4"/>
  <c r="CB50" i="4"/>
  <c r="CA55" i="4"/>
  <c r="AL55" i="4" s="1"/>
  <c r="DN60" i="4"/>
  <c r="DL60" i="4"/>
  <c r="CA61" i="4"/>
  <c r="AL61" i="4" s="1"/>
  <c r="CA66" i="4"/>
  <c r="CA70" i="4"/>
  <c r="CA75" i="4"/>
  <c r="CA79" i="4"/>
  <c r="CA84" i="4"/>
  <c r="AL84" i="4" s="1"/>
  <c r="CA88" i="4"/>
  <c r="DM48" i="4"/>
  <c r="DK48" i="4"/>
  <c r="CD39" i="4"/>
  <c r="CB39" i="4"/>
  <c r="CD62" i="4"/>
  <c r="DN65" i="4"/>
  <c r="DL65" i="4"/>
  <c r="CB66" i="4"/>
  <c r="DM67" i="4"/>
  <c r="CB70" i="4"/>
  <c r="DN73" i="4"/>
  <c r="DL73" i="4"/>
  <c r="CB75" i="4"/>
  <c r="DN78" i="4"/>
  <c r="DL78" i="4"/>
  <c r="CB79" i="4"/>
  <c r="DM80" i="4"/>
  <c r="DN83" i="4"/>
  <c r="DL83" i="4"/>
  <c r="CB84" i="4"/>
  <c r="DM85" i="4"/>
  <c r="DN87" i="4"/>
  <c r="DL87" i="4"/>
  <c r="CB88" i="4"/>
  <c r="DK14" i="4"/>
  <c r="A111" i="4" s="1"/>
  <c r="DO35" i="4"/>
  <c r="CC19" i="4"/>
  <c r="CB40" i="4"/>
  <c r="CA49" i="4"/>
  <c r="AL49" i="4" s="1"/>
  <c r="CC50" i="4"/>
  <c r="CB55" i="4"/>
  <c r="CD56" i="4"/>
  <c r="CB61" i="4"/>
  <c r="DN69" i="4"/>
  <c r="DL69" i="4"/>
  <c r="DM71" i="4"/>
  <c r="DM76" i="4"/>
  <c r="CB18" i="4"/>
  <c r="CA23" i="4"/>
  <c r="DK30" i="4"/>
  <c r="DL36" i="4"/>
  <c r="DN53" i="4"/>
  <c r="DL53" i="4"/>
  <c r="DN59" i="4"/>
  <c r="DL59" i="4"/>
  <c r="C64" i="4"/>
  <c r="CC66" i="4"/>
  <c r="C68" i="4"/>
  <c r="CC70" i="4"/>
  <c r="C72" i="4"/>
  <c r="CC75" i="4"/>
  <c r="C77" i="4"/>
  <c r="CC79" i="4"/>
  <c r="C82" i="4"/>
  <c r="CC84" i="4"/>
  <c r="C86" i="4"/>
  <c r="CC88" i="4"/>
  <c r="AL92" i="4"/>
  <c r="DN28" i="4"/>
  <c r="AL83" i="4" l="1"/>
  <c r="AL50" i="4"/>
  <c r="AL88" i="4"/>
  <c r="AL69" i="4"/>
  <c r="AL79" i="4"/>
  <c r="AL65" i="4"/>
  <c r="AL75" i="4"/>
  <c r="AL70" i="4"/>
  <c r="AL66" i="4"/>
  <c r="AL62" i="4"/>
  <c r="A5" i="11" l="1"/>
  <c r="A4" i="11"/>
  <c r="A3" i="11"/>
  <c r="A2" i="11"/>
  <c r="BL28" i="11"/>
  <c r="BK28" i="11"/>
  <c r="BJ28" i="11"/>
  <c r="BI28" i="11"/>
  <c r="BD28" i="11"/>
  <c r="BB28" i="11"/>
  <c r="D28" i="11"/>
  <c r="C28" i="11"/>
  <c r="B28" i="11"/>
  <c r="BC28" i="11" s="1"/>
  <c r="BL27" i="11"/>
  <c r="BK27" i="11"/>
  <c r="BJ27" i="11"/>
  <c r="BI27" i="11"/>
  <c r="BD27" i="11"/>
  <c r="BB27" i="11"/>
  <c r="D27" i="11"/>
  <c r="C27" i="11"/>
  <c r="B27" i="11"/>
  <c r="BC27" i="11" s="1"/>
  <c r="BL26" i="11"/>
  <c r="BK26" i="11"/>
  <c r="BJ26" i="11"/>
  <c r="BI26" i="11"/>
  <c r="BD26" i="11"/>
  <c r="BB26" i="11"/>
  <c r="D26" i="11"/>
  <c r="C26" i="11"/>
  <c r="B26" i="11"/>
  <c r="BC26" i="11" s="1"/>
  <c r="BL25" i="11"/>
  <c r="BK25" i="11"/>
  <c r="BJ25" i="11"/>
  <c r="BI25" i="11"/>
  <c r="BD25" i="11"/>
  <c r="BB25" i="11"/>
  <c r="D25" i="11"/>
  <c r="C25" i="11"/>
  <c r="B25" i="11"/>
  <c r="BC25" i="11" s="1"/>
  <c r="BL24" i="11"/>
  <c r="BK24" i="11"/>
  <c r="BJ24" i="11"/>
  <c r="BI24" i="11"/>
  <c r="BD24" i="11"/>
  <c r="BB24" i="11"/>
  <c r="D24" i="11"/>
  <c r="C24" i="11"/>
  <c r="B24" i="11"/>
  <c r="BC24" i="11" s="1"/>
  <c r="BL23" i="11"/>
  <c r="BK23" i="11"/>
  <c r="BJ23" i="11"/>
  <c r="BI23" i="11"/>
  <c r="BD23" i="11"/>
  <c r="BB23" i="11"/>
  <c r="D23" i="11"/>
  <c r="C23" i="11"/>
  <c r="B23" i="11"/>
  <c r="BC23" i="11" s="1"/>
  <c r="BL22" i="11"/>
  <c r="BK22" i="11"/>
  <c r="BJ22" i="11"/>
  <c r="BI22" i="11"/>
  <c r="BD22" i="11"/>
  <c r="BB22" i="11"/>
  <c r="D22" i="11"/>
  <c r="C22" i="11"/>
  <c r="B22" i="11"/>
  <c r="BC22" i="11" s="1"/>
  <c r="BL21" i="11"/>
  <c r="BK21" i="11"/>
  <c r="BJ21" i="11"/>
  <c r="BI21" i="11"/>
  <c r="BD21" i="11"/>
  <c r="BB21" i="11"/>
  <c r="D21" i="11"/>
  <c r="C21" i="11"/>
  <c r="B21" i="11"/>
  <c r="BC21" i="11" s="1"/>
  <c r="D16" i="11"/>
  <c r="C16" i="11"/>
  <c r="B16" i="11" s="1"/>
  <c r="D15" i="11"/>
  <c r="C15" i="11"/>
  <c r="B15" i="11" s="1"/>
  <c r="BJ14" i="11"/>
  <c r="BB14" i="11"/>
  <c r="D14" i="11"/>
  <c r="D12" i="11" s="1"/>
  <c r="C14" i="11"/>
  <c r="B14" i="11"/>
  <c r="BI14" i="11" s="1"/>
  <c r="D13" i="11"/>
  <c r="C13" i="11"/>
  <c r="C12" i="11" s="1"/>
  <c r="R12" i="11"/>
  <c r="Q12" i="11"/>
  <c r="P12" i="11"/>
  <c r="O12" i="11"/>
  <c r="N12" i="11"/>
  <c r="M12" i="11"/>
  <c r="L12" i="11"/>
  <c r="K12" i="11"/>
  <c r="J12" i="11"/>
  <c r="I12" i="11"/>
  <c r="H12" i="11"/>
  <c r="G12" i="11"/>
  <c r="F12" i="11"/>
  <c r="E12" i="11"/>
  <c r="A5" i="10"/>
  <c r="A4" i="10"/>
  <c r="A3" i="10"/>
  <c r="A2" i="10"/>
  <c r="A80" i="10"/>
  <c r="E61" i="10"/>
  <c r="D61" i="10"/>
  <c r="C61" i="10"/>
  <c r="B61" i="10"/>
  <c r="BD60" i="10"/>
  <c r="BC60" i="10"/>
  <c r="AV60" i="10"/>
  <c r="AU60" i="10"/>
  <c r="BD59" i="10"/>
  <c r="BC59" i="10"/>
  <c r="AV59" i="10"/>
  <c r="AU59" i="10"/>
  <c r="BD58" i="10"/>
  <c r="BC58" i="10"/>
  <c r="AV58" i="10"/>
  <c r="AU58" i="10"/>
  <c r="BD57" i="10"/>
  <c r="BC57" i="10"/>
  <c r="AV57" i="10"/>
  <c r="AU57" i="10"/>
  <c r="BD56" i="10"/>
  <c r="BC56" i="10"/>
  <c r="AV56" i="10"/>
  <c r="AU56" i="10"/>
  <c r="BD55" i="10"/>
  <c r="BC55" i="10"/>
  <c r="AV55" i="10"/>
  <c r="AU55" i="10"/>
  <c r="BD54" i="10"/>
  <c r="BC54" i="10"/>
  <c r="AV54" i="10"/>
  <c r="AU54" i="10"/>
  <c r="BD53" i="10"/>
  <c r="BC53" i="10"/>
  <c r="AV53" i="10"/>
  <c r="AU53" i="10"/>
  <c r="BD52" i="10"/>
  <c r="BC52" i="10"/>
  <c r="AV52" i="10"/>
  <c r="AU52" i="10"/>
  <c r="E48" i="10"/>
  <c r="D48" i="10"/>
  <c r="C48" i="10"/>
  <c r="B48" i="10"/>
  <c r="BD47" i="10"/>
  <c r="BC47" i="10"/>
  <c r="AV47" i="10"/>
  <c r="AU47" i="10"/>
  <c r="BD46" i="10"/>
  <c r="BC46" i="10"/>
  <c r="AV46" i="10"/>
  <c r="AU46" i="10"/>
  <c r="BD45" i="10"/>
  <c r="BC45" i="10"/>
  <c r="AV45" i="10"/>
  <c r="AU45" i="10"/>
  <c r="BD44" i="10"/>
  <c r="BC44" i="10"/>
  <c r="AV44" i="10"/>
  <c r="AU44" i="10"/>
  <c r="BD43" i="10"/>
  <c r="BC43" i="10"/>
  <c r="AV43" i="10"/>
  <c r="AU43" i="10"/>
  <c r="BD42" i="10"/>
  <c r="BC42" i="10"/>
  <c r="AV42" i="10"/>
  <c r="AU42" i="10"/>
  <c r="BD41" i="10"/>
  <c r="BC41" i="10"/>
  <c r="AV41" i="10"/>
  <c r="AU41" i="10"/>
  <c r="BD40" i="10"/>
  <c r="BC40" i="10"/>
  <c r="AV40" i="10"/>
  <c r="AU40" i="10"/>
  <c r="BD39" i="10"/>
  <c r="BC39" i="10"/>
  <c r="AV39" i="10"/>
  <c r="AU39" i="10"/>
  <c r="E35" i="10"/>
  <c r="D35" i="10"/>
  <c r="C35" i="10"/>
  <c r="B35" i="10"/>
  <c r="BD34" i="10"/>
  <c r="BC34" i="10"/>
  <c r="AV34" i="10"/>
  <c r="AU34" i="10"/>
  <c r="BD33" i="10"/>
  <c r="BC33" i="10"/>
  <c r="AV33" i="10"/>
  <c r="AU33" i="10"/>
  <c r="BD32" i="10"/>
  <c r="BC32" i="10"/>
  <c r="AV32" i="10"/>
  <c r="AU32" i="10"/>
  <c r="BD31" i="10"/>
  <c r="BC31" i="10"/>
  <c r="AV31" i="10"/>
  <c r="AU31" i="10"/>
  <c r="BD30" i="10"/>
  <c r="BC30" i="10"/>
  <c r="AV30" i="10"/>
  <c r="AU30" i="10"/>
  <c r="BD29" i="10"/>
  <c r="BC29" i="10"/>
  <c r="AV29" i="10"/>
  <c r="AU29" i="10"/>
  <c r="BD28" i="10"/>
  <c r="BC28" i="10"/>
  <c r="AV28" i="10"/>
  <c r="AU28" i="10"/>
  <c r="E24" i="10"/>
  <c r="D24" i="10"/>
  <c r="C24" i="10"/>
  <c r="B24" i="10"/>
  <c r="BD23" i="10"/>
  <c r="BC23" i="10"/>
  <c r="AV23" i="10"/>
  <c r="AU23" i="10"/>
  <c r="BD22" i="10"/>
  <c r="BC22" i="10"/>
  <c r="AV22" i="10"/>
  <c r="AU22" i="10"/>
  <c r="BD21" i="10"/>
  <c r="BC21" i="10"/>
  <c r="AV21" i="10"/>
  <c r="AU21" i="10"/>
  <c r="BD20" i="10"/>
  <c r="BC20" i="10"/>
  <c r="AV20" i="10"/>
  <c r="AU20" i="10"/>
  <c r="BD19" i="10"/>
  <c r="BC19" i="10"/>
  <c r="AV19" i="10"/>
  <c r="AU19" i="10"/>
  <c r="BD18" i="10"/>
  <c r="BC18" i="10"/>
  <c r="AV18" i="10"/>
  <c r="AU18" i="10"/>
  <c r="BD17" i="10"/>
  <c r="BC17" i="10"/>
  <c r="AV17" i="10"/>
  <c r="AU17" i="10"/>
  <c r="BD16" i="10"/>
  <c r="BC16" i="10"/>
  <c r="AV16" i="10"/>
  <c r="AU16" i="10"/>
  <c r="BD15" i="10"/>
  <c r="BC15" i="10"/>
  <c r="AV15" i="10"/>
  <c r="AU15" i="10"/>
  <c r="BD14" i="10"/>
  <c r="BC14" i="10"/>
  <c r="AV14" i="10"/>
  <c r="AU14" i="10"/>
  <c r="BD13" i="10"/>
  <c r="BC13" i="10"/>
  <c r="AV13" i="10"/>
  <c r="AU13" i="10"/>
  <c r="BD12" i="10"/>
  <c r="BC12" i="10"/>
  <c r="AV12" i="10"/>
  <c r="AU12" i="10"/>
  <c r="BD11" i="10"/>
  <c r="BC11" i="10"/>
  <c r="A81" i="10" s="1"/>
  <c r="AV11" i="10"/>
  <c r="AU11" i="10"/>
  <c r="CO22" i="9"/>
  <c r="CN22" i="9"/>
  <c r="CM22" i="9"/>
  <c r="CL22" i="9"/>
  <c r="CD22" i="9"/>
  <c r="CC22" i="9"/>
  <c r="CB22" i="9"/>
  <c r="AK22" i="9" s="1"/>
  <c r="CA22" i="9"/>
  <c r="D22" i="9"/>
  <c r="C22" i="9"/>
  <c r="B22" i="9"/>
  <c r="CM17" i="9"/>
  <c r="CL17" i="9"/>
  <c r="CF17" i="9"/>
  <c r="CE17" i="9"/>
  <c r="CD17" i="9"/>
  <c r="F17" i="9"/>
  <c r="CA17" i="9" s="1"/>
  <c r="E17" i="9"/>
  <c r="CB17" i="9" s="1"/>
  <c r="D17" i="9"/>
  <c r="CC17" i="9" s="1"/>
  <c r="CP16" i="9"/>
  <c r="CO16" i="9"/>
  <c r="CN16" i="9"/>
  <c r="CL16" i="9"/>
  <c r="CA16" i="9"/>
  <c r="CF16" i="9"/>
  <c r="F15" i="9"/>
  <c r="CL15" i="9" s="1"/>
  <c r="E15" i="9"/>
  <c r="D15" i="9" s="1"/>
  <c r="CM14" i="9"/>
  <c r="CL14" i="9"/>
  <c r="CF14" i="9"/>
  <c r="CE14" i="9"/>
  <c r="CD14" i="9"/>
  <c r="CC14" i="9"/>
  <c r="CB14" i="9"/>
  <c r="CA14" i="9"/>
  <c r="AY14" i="9" s="1"/>
  <c r="F14" i="9"/>
  <c r="E14" i="9"/>
  <c r="D14" i="9"/>
  <c r="CQ14" i="9" s="1"/>
  <c r="CP13" i="9"/>
  <c r="CO13" i="9"/>
  <c r="CN13" i="9"/>
  <c r="CL13" i="9"/>
  <c r="CF13" i="9"/>
  <c r="CE13" i="9"/>
  <c r="CD13" i="9"/>
  <c r="F13" i="9"/>
  <c r="CA13" i="9" s="1"/>
  <c r="D13" i="9"/>
  <c r="CC13" i="9" s="1"/>
  <c r="CP12" i="9"/>
  <c r="CO12" i="9"/>
  <c r="CN12" i="9"/>
  <c r="CL12" i="9"/>
  <c r="CF12" i="9"/>
  <c r="CE12" i="9"/>
  <c r="F12" i="9"/>
  <c r="CA12" i="9" s="1"/>
  <c r="D12" i="9"/>
  <c r="CD12" i="9" s="1"/>
  <c r="A5" i="9"/>
  <c r="A4" i="9"/>
  <c r="A3" i="9"/>
  <c r="A2" i="9"/>
  <c r="AV103" i="8"/>
  <c r="AU103" i="8"/>
  <c r="AT103" i="8"/>
  <c r="AS103" i="8"/>
  <c r="AR103" i="8"/>
  <c r="AQ103" i="8"/>
  <c r="AO103" i="8"/>
  <c r="AN103" i="8"/>
  <c r="AM103" i="8"/>
  <c r="AL103" i="8"/>
  <c r="AK103" i="8"/>
  <c r="AJ103" i="8"/>
  <c r="O103" i="8"/>
  <c r="L103" i="8"/>
  <c r="I103" i="8"/>
  <c r="F103" i="8"/>
  <c r="C103" i="8"/>
  <c r="AV102" i="8"/>
  <c r="AU102" i="8"/>
  <c r="AT102" i="8"/>
  <c r="AS102" i="8"/>
  <c r="AR102" i="8"/>
  <c r="AQ102" i="8"/>
  <c r="AO102" i="8"/>
  <c r="AN102" i="8"/>
  <c r="AM102" i="8"/>
  <c r="AL102" i="8"/>
  <c r="AK102" i="8"/>
  <c r="AJ102" i="8"/>
  <c r="O102" i="8" s="1"/>
  <c r="L102" i="8"/>
  <c r="I102" i="8"/>
  <c r="F102" i="8"/>
  <c r="C102" i="8"/>
  <c r="AV101" i="8"/>
  <c r="AU101" i="8"/>
  <c r="AT101" i="8"/>
  <c r="AS101" i="8"/>
  <c r="AR101" i="8"/>
  <c r="AQ101" i="8"/>
  <c r="AO101" i="8"/>
  <c r="AN101" i="8"/>
  <c r="AM101" i="8"/>
  <c r="AL101" i="8"/>
  <c r="AK101" i="8"/>
  <c r="O101" i="8" s="1"/>
  <c r="AJ101" i="8"/>
  <c r="L101" i="8"/>
  <c r="I101" i="8"/>
  <c r="F101" i="8"/>
  <c r="C101" i="8"/>
  <c r="AV100" i="8"/>
  <c r="AU100" i="8"/>
  <c r="AT100" i="8"/>
  <c r="AS100" i="8"/>
  <c r="AR100" i="8"/>
  <c r="AQ100" i="8"/>
  <c r="AO100" i="8"/>
  <c r="AN100" i="8"/>
  <c r="AM100" i="8"/>
  <c r="AL100" i="8"/>
  <c r="AK100" i="8"/>
  <c r="AJ100" i="8"/>
  <c r="O100" i="8" s="1"/>
  <c r="L100" i="8"/>
  <c r="I100" i="8"/>
  <c r="F100" i="8"/>
  <c r="C100" i="8"/>
  <c r="AV99" i="8"/>
  <c r="AU99" i="8"/>
  <c r="AT99" i="8"/>
  <c r="AS99" i="8"/>
  <c r="AR99" i="8"/>
  <c r="AQ99" i="8"/>
  <c r="AO99" i="8"/>
  <c r="AN99" i="8"/>
  <c r="AM99" i="8"/>
  <c r="AL99" i="8"/>
  <c r="AK99" i="8"/>
  <c r="AJ99" i="8"/>
  <c r="O99" i="8" s="1"/>
  <c r="L99" i="8"/>
  <c r="I99" i="8"/>
  <c r="F99" i="8"/>
  <c r="C99" i="8"/>
  <c r="AV98" i="8"/>
  <c r="AU98" i="8"/>
  <c r="AT98" i="8"/>
  <c r="AS98" i="8"/>
  <c r="AR98" i="8"/>
  <c r="AQ98" i="8"/>
  <c r="AO98" i="8"/>
  <c r="AN98" i="8"/>
  <c r="AM98" i="8"/>
  <c r="AL98" i="8"/>
  <c r="AK98" i="8"/>
  <c r="AJ98" i="8"/>
  <c r="O98" i="8"/>
  <c r="L98" i="8"/>
  <c r="I98" i="8"/>
  <c r="F98" i="8"/>
  <c r="C98" i="8"/>
  <c r="AV97" i="8"/>
  <c r="AU97" i="8"/>
  <c r="AT97" i="8"/>
  <c r="AS97" i="8"/>
  <c r="AR97" i="8"/>
  <c r="AQ97" i="8"/>
  <c r="AO97" i="8"/>
  <c r="AN97" i="8"/>
  <c r="AM97" i="8"/>
  <c r="AL97" i="8"/>
  <c r="AK97" i="8"/>
  <c r="O97" i="8" s="1"/>
  <c r="AJ97" i="8"/>
  <c r="L97" i="8"/>
  <c r="I97" i="8"/>
  <c r="F97" i="8"/>
  <c r="C97" i="8"/>
  <c r="AV96" i="8"/>
  <c r="AU96" i="8"/>
  <c r="AT96" i="8"/>
  <c r="AS96" i="8"/>
  <c r="AR96" i="8"/>
  <c r="AQ96" i="8"/>
  <c r="AO96" i="8"/>
  <c r="AN96" i="8"/>
  <c r="AM96" i="8"/>
  <c r="O96" i="8" s="1"/>
  <c r="AL96" i="8"/>
  <c r="AK96" i="8"/>
  <c r="AJ96" i="8"/>
  <c r="L96" i="8"/>
  <c r="I96" i="8"/>
  <c r="F96" i="8"/>
  <c r="C96" i="8"/>
  <c r="AV95" i="8"/>
  <c r="AU95" i="8"/>
  <c r="AT95" i="8"/>
  <c r="AS95" i="8"/>
  <c r="AR95" i="8"/>
  <c r="AQ95" i="8"/>
  <c r="AO95" i="8"/>
  <c r="AN95" i="8"/>
  <c r="AM95" i="8"/>
  <c r="AL95" i="8"/>
  <c r="AK95" i="8"/>
  <c r="AJ95" i="8"/>
  <c r="O95" i="8" s="1"/>
  <c r="L95" i="8"/>
  <c r="I95" i="8"/>
  <c r="F95" i="8"/>
  <c r="C95" i="8"/>
  <c r="AV94" i="8"/>
  <c r="AU94" i="8"/>
  <c r="AT94" i="8"/>
  <c r="AS94" i="8"/>
  <c r="AR94" i="8"/>
  <c r="AQ94" i="8"/>
  <c r="AO94" i="8"/>
  <c r="AN94" i="8"/>
  <c r="AM94" i="8"/>
  <c r="AL94" i="8"/>
  <c r="AK94" i="8"/>
  <c r="AJ94" i="8"/>
  <c r="O94" i="8" s="1"/>
  <c r="L94" i="8"/>
  <c r="I94" i="8"/>
  <c r="F94" i="8"/>
  <c r="C94" i="8"/>
  <c r="AV93" i="8"/>
  <c r="AU93" i="8"/>
  <c r="AT93" i="8"/>
  <c r="AS93" i="8"/>
  <c r="AR93" i="8"/>
  <c r="AQ93" i="8"/>
  <c r="AO93" i="8"/>
  <c r="AN93" i="8"/>
  <c r="AM93" i="8"/>
  <c r="AL93" i="8"/>
  <c r="AK93" i="8"/>
  <c r="AJ93" i="8"/>
  <c r="O93" i="8"/>
  <c r="L93" i="8"/>
  <c r="I93" i="8"/>
  <c r="F93" i="8"/>
  <c r="C93" i="8"/>
  <c r="AV92" i="8"/>
  <c r="AU92" i="8"/>
  <c r="AT92" i="8"/>
  <c r="AS92" i="8"/>
  <c r="AR92" i="8"/>
  <c r="AQ92" i="8"/>
  <c r="AO92" i="8"/>
  <c r="AN92" i="8"/>
  <c r="AM92" i="8"/>
  <c r="AL92" i="8"/>
  <c r="O92" i="8" s="1"/>
  <c r="AK92" i="8"/>
  <c r="AJ92" i="8"/>
  <c r="L92" i="8"/>
  <c r="I92" i="8"/>
  <c r="F92" i="8"/>
  <c r="C92" i="8"/>
  <c r="AV91" i="8"/>
  <c r="AU91" i="8"/>
  <c r="AT91" i="8"/>
  <c r="AS91" i="8"/>
  <c r="AR91" i="8"/>
  <c r="AQ91" i="8"/>
  <c r="AO91" i="8"/>
  <c r="AN91" i="8"/>
  <c r="AM91" i="8"/>
  <c r="AL91" i="8"/>
  <c r="AK91" i="8"/>
  <c r="AJ91" i="8"/>
  <c r="O91" i="8"/>
  <c r="L91" i="8"/>
  <c r="I91" i="8"/>
  <c r="F91" i="8"/>
  <c r="C91" i="8"/>
  <c r="AV90" i="8"/>
  <c r="AU90" i="8"/>
  <c r="AT90" i="8"/>
  <c r="AS90" i="8"/>
  <c r="AR90" i="8"/>
  <c r="AQ90" i="8"/>
  <c r="AO90" i="8"/>
  <c r="AN90" i="8"/>
  <c r="AM90" i="8"/>
  <c r="AL90" i="8"/>
  <c r="AK90" i="8"/>
  <c r="AJ90" i="8"/>
  <c r="O90" i="8" s="1"/>
  <c r="L90" i="8"/>
  <c r="I90" i="8"/>
  <c r="F90" i="8"/>
  <c r="C90" i="8"/>
  <c r="AR86" i="8"/>
  <c r="AQ86" i="8"/>
  <c r="AM86" i="8"/>
  <c r="AK86" i="8"/>
  <c r="O86" i="8"/>
  <c r="L86" i="8"/>
  <c r="I86" i="8"/>
  <c r="F86" i="8"/>
  <c r="E86" i="8"/>
  <c r="AT86" i="8" s="1"/>
  <c r="D86" i="8"/>
  <c r="AL86" i="8" s="1"/>
  <c r="C86" i="8"/>
  <c r="AT85" i="8"/>
  <c r="AS85" i="8"/>
  <c r="O85" i="8"/>
  <c r="L85" i="8"/>
  <c r="I85" i="8"/>
  <c r="F85" i="8"/>
  <c r="E85" i="8"/>
  <c r="AR85" i="8" s="1"/>
  <c r="D85" i="8"/>
  <c r="AQ85" i="8" s="1"/>
  <c r="AS84" i="8"/>
  <c r="AL84" i="8"/>
  <c r="AK84" i="8"/>
  <c r="AJ84" i="8"/>
  <c r="O84" i="8"/>
  <c r="L84" i="8"/>
  <c r="I84" i="8"/>
  <c r="F84" i="8"/>
  <c r="E84" i="8"/>
  <c r="AT84" i="8" s="1"/>
  <c r="D84" i="8"/>
  <c r="AQ84" i="8" s="1"/>
  <c r="AR83" i="8"/>
  <c r="AQ83" i="8"/>
  <c r="AM83" i="8"/>
  <c r="AK83" i="8"/>
  <c r="O83" i="8"/>
  <c r="L83" i="8"/>
  <c r="I83" i="8"/>
  <c r="F83" i="8"/>
  <c r="E83" i="8"/>
  <c r="AT83" i="8" s="1"/>
  <c r="D83" i="8"/>
  <c r="AL83" i="8" s="1"/>
  <c r="C83" i="8"/>
  <c r="AT82" i="8"/>
  <c r="AS82" i="8"/>
  <c r="O82" i="8"/>
  <c r="L82" i="8"/>
  <c r="I82" i="8"/>
  <c r="F82" i="8"/>
  <c r="E82" i="8"/>
  <c r="AR82" i="8" s="1"/>
  <c r="D82" i="8"/>
  <c r="AQ82" i="8" s="1"/>
  <c r="AS78" i="8"/>
  <c r="AL78" i="8"/>
  <c r="AK78" i="8"/>
  <c r="AJ78" i="8"/>
  <c r="O78" i="8"/>
  <c r="L78" i="8"/>
  <c r="I78" i="8"/>
  <c r="F78" i="8"/>
  <c r="E78" i="8"/>
  <c r="AT78" i="8" s="1"/>
  <c r="D78" i="8"/>
  <c r="AQ78" i="8" s="1"/>
  <c r="AR77" i="8"/>
  <c r="AQ77" i="8"/>
  <c r="AM77" i="8"/>
  <c r="AK77" i="8"/>
  <c r="O77" i="8"/>
  <c r="L77" i="8"/>
  <c r="I77" i="8"/>
  <c r="F77" i="8"/>
  <c r="E77" i="8"/>
  <c r="AT77" i="8" s="1"/>
  <c r="D77" i="8"/>
  <c r="AL77" i="8" s="1"/>
  <c r="C77" i="8"/>
  <c r="AT76" i="8"/>
  <c r="AS76" i="8"/>
  <c r="O76" i="8"/>
  <c r="L76" i="8"/>
  <c r="I76" i="8"/>
  <c r="F76" i="8"/>
  <c r="E76" i="8"/>
  <c r="AR76" i="8" s="1"/>
  <c r="D76" i="8"/>
  <c r="AQ76" i="8" s="1"/>
  <c r="AS75" i="8"/>
  <c r="AL75" i="8"/>
  <c r="AK75" i="8"/>
  <c r="AJ75" i="8"/>
  <c r="O75" i="8"/>
  <c r="L75" i="8"/>
  <c r="I75" i="8"/>
  <c r="F75" i="8"/>
  <c r="E75" i="8"/>
  <c r="AT75" i="8" s="1"/>
  <c r="D75" i="8"/>
  <c r="AQ75" i="8" s="1"/>
  <c r="AR74" i="8"/>
  <c r="AQ74" i="8"/>
  <c r="AM74" i="8"/>
  <c r="AK74" i="8"/>
  <c r="O74" i="8"/>
  <c r="L74" i="8"/>
  <c r="I74" i="8"/>
  <c r="F74" i="8"/>
  <c r="E74" i="8"/>
  <c r="AT74" i="8" s="1"/>
  <c r="D74" i="8"/>
  <c r="AL74" i="8" s="1"/>
  <c r="C74" i="8"/>
  <c r="AT73" i="8"/>
  <c r="AS73" i="8"/>
  <c r="O73" i="8"/>
  <c r="L73" i="8"/>
  <c r="I73" i="8"/>
  <c r="F73" i="8"/>
  <c r="E73" i="8"/>
  <c r="AR73" i="8" s="1"/>
  <c r="D73" i="8"/>
  <c r="AQ73" i="8" s="1"/>
  <c r="AS72" i="8"/>
  <c r="AL72" i="8"/>
  <c r="AK72" i="8"/>
  <c r="AJ72" i="8"/>
  <c r="O72" i="8"/>
  <c r="L72" i="8"/>
  <c r="I72" i="8"/>
  <c r="F72" i="8"/>
  <c r="E72" i="8"/>
  <c r="AT72" i="8" s="1"/>
  <c r="D72" i="8"/>
  <c r="AQ72" i="8" s="1"/>
  <c r="AR71" i="8"/>
  <c r="AQ71" i="8"/>
  <c r="AM71" i="8"/>
  <c r="AK71" i="8"/>
  <c r="O71" i="8"/>
  <c r="L71" i="8"/>
  <c r="I71" i="8"/>
  <c r="F71" i="8"/>
  <c r="E71" i="8"/>
  <c r="AT71" i="8" s="1"/>
  <c r="D71" i="8"/>
  <c r="AL71" i="8" s="1"/>
  <c r="C71" i="8"/>
  <c r="AT67" i="8"/>
  <c r="AS67" i="8"/>
  <c r="O67" i="8"/>
  <c r="L67" i="8"/>
  <c r="I67" i="8"/>
  <c r="F67" i="8"/>
  <c r="E67" i="8"/>
  <c r="AR67" i="8" s="1"/>
  <c r="D67" i="8"/>
  <c r="AQ67" i="8" s="1"/>
  <c r="AS66" i="8"/>
  <c r="AL66" i="8"/>
  <c r="AK66" i="8"/>
  <c r="AJ66" i="8"/>
  <c r="O66" i="8"/>
  <c r="L66" i="8"/>
  <c r="I66" i="8"/>
  <c r="F66" i="8"/>
  <c r="E66" i="8"/>
  <c r="AT66" i="8" s="1"/>
  <c r="D66" i="8"/>
  <c r="AQ66" i="8" s="1"/>
  <c r="AR65" i="8"/>
  <c r="AQ65" i="8"/>
  <c r="AM65" i="8"/>
  <c r="AK65" i="8"/>
  <c r="O65" i="8"/>
  <c r="L65" i="8"/>
  <c r="I65" i="8"/>
  <c r="F65" i="8"/>
  <c r="E65" i="8"/>
  <c r="AT65" i="8" s="1"/>
  <c r="D65" i="8"/>
  <c r="AL65" i="8" s="1"/>
  <c r="C65" i="8"/>
  <c r="AT64" i="8"/>
  <c r="AS64" i="8"/>
  <c r="O64" i="8"/>
  <c r="L64" i="8"/>
  <c r="I64" i="8"/>
  <c r="F64" i="8"/>
  <c r="E64" i="8"/>
  <c r="AR64" i="8" s="1"/>
  <c r="D64" i="8"/>
  <c r="AQ64" i="8" s="1"/>
  <c r="AS63" i="8"/>
  <c r="AL63" i="8"/>
  <c r="AK63" i="8"/>
  <c r="AJ63" i="8"/>
  <c r="O63" i="8"/>
  <c r="L63" i="8"/>
  <c r="I63" i="8"/>
  <c r="F63" i="8"/>
  <c r="E63" i="8"/>
  <c r="AT63" i="8" s="1"/>
  <c r="D63" i="8"/>
  <c r="AQ63" i="8" s="1"/>
  <c r="AR62" i="8"/>
  <c r="AQ62" i="8"/>
  <c r="AM62" i="8"/>
  <c r="AK62" i="8"/>
  <c r="O62" i="8"/>
  <c r="L62" i="8"/>
  <c r="I62" i="8"/>
  <c r="F62" i="8"/>
  <c r="E62" i="8"/>
  <c r="AT62" i="8" s="1"/>
  <c r="D62" i="8"/>
  <c r="AL62" i="8" s="1"/>
  <c r="C62" i="8"/>
  <c r="AT61" i="8"/>
  <c r="AS61" i="8"/>
  <c r="O61" i="8"/>
  <c r="L61" i="8"/>
  <c r="I61" i="8"/>
  <c r="F61" i="8"/>
  <c r="E61" i="8"/>
  <c r="AR61" i="8" s="1"/>
  <c r="D61" i="8"/>
  <c r="AQ61" i="8" s="1"/>
  <c r="AS60" i="8"/>
  <c r="AL60" i="8"/>
  <c r="AK60" i="8"/>
  <c r="AJ60" i="8"/>
  <c r="O60" i="8"/>
  <c r="L60" i="8"/>
  <c r="I60" i="8"/>
  <c r="F60" i="8"/>
  <c r="E60" i="8"/>
  <c r="AT60" i="8" s="1"/>
  <c r="D60" i="8"/>
  <c r="AQ60" i="8" s="1"/>
  <c r="AR59" i="8"/>
  <c r="AQ59" i="8"/>
  <c r="AM59" i="8"/>
  <c r="AK59" i="8"/>
  <c r="O59" i="8"/>
  <c r="L59" i="8"/>
  <c r="I59" i="8"/>
  <c r="F59" i="8"/>
  <c r="E59" i="8"/>
  <c r="AT59" i="8" s="1"/>
  <c r="D59" i="8"/>
  <c r="AL59" i="8" s="1"/>
  <c r="C59" i="8"/>
  <c r="AT58" i="8"/>
  <c r="AS58" i="8"/>
  <c r="O58" i="8"/>
  <c r="L58" i="8"/>
  <c r="I58" i="8"/>
  <c r="F58" i="8"/>
  <c r="E58" i="8"/>
  <c r="AR58" i="8" s="1"/>
  <c r="D58" i="8"/>
  <c r="AQ58" i="8" s="1"/>
  <c r="AS54" i="8"/>
  <c r="AL54" i="8"/>
  <c r="AK54" i="8"/>
  <c r="AJ54" i="8"/>
  <c r="O54" i="8"/>
  <c r="L54" i="8"/>
  <c r="I54" i="8"/>
  <c r="F54" i="8"/>
  <c r="E54" i="8"/>
  <c r="AT54" i="8" s="1"/>
  <c r="D54" i="8"/>
  <c r="AQ54" i="8" s="1"/>
  <c r="AR53" i="8"/>
  <c r="AQ53" i="8"/>
  <c r="AM53" i="8"/>
  <c r="AK53" i="8"/>
  <c r="O53" i="8"/>
  <c r="L53" i="8"/>
  <c r="I53" i="8"/>
  <c r="F53" i="8"/>
  <c r="E53" i="8"/>
  <c r="AT53" i="8" s="1"/>
  <c r="D53" i="8"/>
  <c r="AL53" i="8" s="1"/>
  <c r="C53" i="8"/>
  <c r="AT52" i="8"/>
  <c r="AS52" i="8"/>
  <c r="O52" i="8"/>
  <c r="L52" i="8"/>
  <c r="I52" i="8"/>
  <c r="F52" i="8"/>
  <c r="E52" i="8"/>
  <c r="AR52" i="8" s="1"/>
  <c r="D52" i="8"/>
  <c r="AQ52" i="8" s="1"/>
  <c r="AS51" i="8"/>
  <c r="AL51" i="8"/>
  <c r="AK51" i="8"/>
  <c r="AJ51" i="8"/>
  <c r="O51" i="8"/>
  <c r="L51" i="8"/>
  <c r="I51" i="8"/>
  <c r="F51" i="8"/>
  <c r="E51" i="8"/>
  <c r="AT51" i="8" s="1"/>
  <c r="D51" i="8"/>
  <c r="AQ51" i="8" s="1"/>
  <c r="AR50" i="8"/>
  <c r="AQ50" i="8"/>
  <c r="AM50" i="8"/>
  <c r="AK50" i="8"/>
  <c r="O50" i="8"/>
  <c r="L50" i="8"/>
  <c r="I50" i="8"/>
  <c r="F50" i="8"/>
  <c r="E50" i="8"/>
  <c r="AT50" i="8" s="1"/>
  <c r="D50" i="8"/>
  <c r="AL50" i="8" s="1"/>
  <c r="C50" i="8"/>
  <c r="AT49" i="8"/>
  <c r="AS49" i="8"/>
  <c r="O49" i="8"/>
  <c r="L49" i="8"/>
  <c r="I49" i="8"/>
  <c r="F49" i="8"/>
  <c r="E49" i="8"/>
  <c r="AR49" i="8" s="1"/>
  <c r="D49" i="8"/>
  <c r="AQ49" i="8" s="1"/>
  <c r="AT42" i="8"/>
  <c r="AS42" i="8"/>
  <c r="AR42" i="8"/>
  <c r="AQ42" i="8"/>
  <c r="AM42" i="8"/>
  <c r="AL42" i="8"/>
  <c r="AK42" i="8"/>
  <c r="AJ42" i="8"/>
  <c r="R42" i="8"/>
  <c r="O42" i="8"/>
  <c r="L42" i="8"/>
  <c r="I42" i="8"/>
  <c r="F42" i="8"/>
  <c r="C42" i="8"/>
  <c r="AT40" i="8"/>
  <c r="AS40" i="8"/>
  <c r="AR40" i="8"/>
  <c r="AQ40" i="8"/>
  <c r="AM40" i="8"/>
  <c r="AL40" i="8"/>
  <c r="AK40" i="8"/>
  <c r="AJ40" i="8"/>
  <c r="R40" i="8" s="1"/>
  <c r="O40" i="8"/>
  <c r="L40" i="8"/>
  <c r="I40" i="8"/>
  <c r="F40" i="8"/>
  <c r="C40" i="8"/>
  <c r="AT39" i="8"/>
  <c r="AS39" i="8"/>
  <c r="AR39" i="8"/>
  <c r="AQ39" i="8"/>
  <c r="AM39" i="8"/>
  <c r="AL39" i="8"/>
  <c r="AK39" i="8"/>
  <c r="R39" i="8" s="1"/>
  <c r="AJ39" i="8"/>
  <c r="O39" i="8"/>
  <c r="L39" i="8"/>
  <c r="I39" i="8"/>
  <c r="F39" i="8"/>
  <c r="C39" i="8"/>
  <c r="AT38" i="8"/>
  <c r="AS38" i="8"/>
  <c r="AR38" i="8"/>
  <c r="AQ38" i="8"/>
  <c r="AM38" i="8"/>
  <c r="AL38" i="8"/>
  <c r="AK38" i="8"/>
  <c r="AJ38" i="8"/>
  <c r="R38" i="8" s="1"/>
  <c r="O38" i="8"/>
  <c r="L38" i="8"/>
  <c r="I38" i="8"/>
  <c r="F38" i="8"/>
  <c r="C38" i="8"/>
  <c r="AT37" i="8"/>
  <c r="AS37" i="8"/>
  <c r="AR37" i="8"/>
  <c r="AQ37" i="8"/>
  <c r="AM37" i="8"/>
  <c r="AL37" i="8"/>
  <c r="AK37" i="8"/>
  <c r="R37" i="8" s="1"/>
  <c r="AJ37" i="8"/>
  <c r="O37" i="8"/>
  <c r="L37" i="8"/>
  <c r="I37" i="8"/>
  <c r="F37" i="8"/>
  <c r="C37" i="8"/>
  <c r="AT36" i="8"/>
  <c r="AS36" i="8"/>
  <c r="AR36" i="8"/>
  <c r="AQ36" i="8"/>
  <c r="AM36" i="8"/>
  <c r="AL36" i="8"/>
  <c r="AK36" i="8"/>
  <c r="AJ36" i="8"/>
  <c r="R36" i="8"/>
  <c r="O36" i="8"/>
  <c r="L36" i="8"/>
  <c r="I36" i="8"/>
  <c r="F36" i="8"/>
  <c r="C36" i="8"/>
  <c r="AT35" i="8"/>
  <c r="AS35" i="8"/>
  <c r="AR35" i="8"/>
  <c r="AQ35" i="8"/>
  <c r="AM35" i="8"/>
  <c r="AL35" i="8"/>
  <c r="AK35" i="8"/>
  <c r="AJ35" i="8"/>
  <c r="R35" i="8"/>
  <c r="O35" i="8"/>
  <c r="L35" i="8"/>
  <c r="I35" i="8"/>
  <c r="F35" i="8"/>
  <c r="C35" i="8"/>
  <c r="AT33" i="8"/>
  <c r="AS33" i="8"/>
  <c r="AR33" i="8"/>
  <c r="AQ33" i="8"/>
  <c r="AM33" i="8"/>
  <c r="AL33" i="8"/>
  <c r="AK33" i="8"/>
  <c r="AJ33" i="8"/>
  <c r="R33" i="8" s="1"/>
  <c r="O33" i="8"/>
  <c r="L33" i="8"/>
  <c r="I33" i="8"/>
  <c r="F33" i="8"/>
  <c r="C33" i="8"/>
  <c r="AT32" i="8"/>
  <c r="AS32" i="8"/>
  <c r="AR32" i="8"/>
  <c r="AQ32" i="8"/>
  <c r="AM32" i="8"/>
  <c r="AL32" i="8"/>
  <c r="AK32" i="8"/>
  <c r="R32" i="8" s="1"/>
  <c r="AJ32" i="8"/>
  <c r="O32" i="8"/>
  <c r="L32" i="8"/>
  <c r="I32" i="8"/>
  <c r="F32" i="8"/>
  <c r="C32" i="8"/>
  <c r="AT31" i="8"/>
  <c r="AS31" i="8"/>
  <c r="AR31" i="8"/>
  <c r="AQ31" i="8"/>
  <c r="AM31" i="8"/>
  <c r="AL31" i="8"/>
  <c r="AK31" i="8"/>
  <c r="AJ31" i="8"/>
  <c r="R31" i="8" s="1"/>
  <c r="O31" i="8"/>
  <c r="L31" i="8"/>
  <c r="I31" i="8"/>
  <c r="F31" i="8"/>
  <c r="C31" i="8"/>
  <c r="AT30" i="8"/>
  <c r="AS30" i="8"/>
  <c r="AR30" i="8"/>
  <c r="AQ30" i="8"/>
  <c r="AM30" i="8"/>
  <c r="AL30" i="8"/>
  <c r="AK30" i="8"/>
  <c r="R30" i="8" s="1"/>
  <c r="AJ30" i="8"/>
  <c r="O30" i="8"/>
  <c r="L30" i="8"/>
  <c r="I30" i="8"/>
  <c r="F30" i="8"/>
  <c r="C30" i="8"/>
  <c r="AT28" i="8"/>
  <c r="AS28" i="8"/>
  <c r="AR28" i="8"/>
  <c r="AQ28" i="8"/>
  <c r="AM28" i="8"/>
  <c r="AL28" i="8"/>
  <c r="AK28" i="8"/>
  <c r="AJ28" i="8"/>
  <c r="R28" i="8"/>
  <c r="O28" i="8"/>
  <c r="L28" i="8"/>
  <c r="I28" i="8"/>
  <c r="F28" i="8"/>
  <c r="C28" i="8"/>
  <c r="AT27" i="8"/>
  <c r="AS27" i="8"/>
  <c r="AR27" i="8"/>
  <c r="AQ27" i="8"/>
  <c r="AM27" i="8"/>
  <c r="AL27" i="8"/>
  <c r="AK27" i="8"/>
  <c r="AJ27" i="8"/>
  <c r="R27" i="8"/>
  <c r="O27" i="8"/>
  <c r="L27" i="8"/>
  <c r="I27" i="8"/>
  <c r="F27" i="8"/>
  <c r="C27" i="8"/>
  <c r="C26" i="8"/>
  <c r="AT25" i="8"/>
  <c r="AS25" i="8"/>
  <c r="AR25" i="8"/>
  <c r="AQ25" i="8"/>
  <c r="AM25" i="8"/>
  <c r="AL25" i="8"/>
  <c r="AK25" i="8"/>
  <c r="AJ25" i="8"/>
  <c r="R25" i="8" s="1"/>
  <c r="O25" i="8"/>
  <c r="L25" i="8"/>
  <c r="I25" i="8"/>
  <c r="F25" i="8"/>
  <c r="C25" i="8"/>
  <c r="AT24" i="8"/>
  <c r="AS24" i="8"/>
  <c r="AR24" i="8"/>
  <c r="AQ24" i="8"/>
  <c r="AM24" i="8"/>
  <c r="AL24" i="8"/>
  <c r="R24" i="8" s="1"/>
  <c r="AK24" i="8"/>
  <c r="AJ24" i="8"/>
  <c r="O24" i="8"/>
  <c r="L24" i="8"/>
  <c r="I24" i="8"/>
  <c r="F24" i="8"/>
  <c r="C24" i="8"/>
  <c r="AT23" i="8"/>
  <c r="AS23" i="8"/>
  <c r="AR23" i="8"/>
  <c r="AQ23" i="8"/>
  <c r="AM23" i="8"/>
  <c r="AL23" i="8"/>
  <c r="AK23" i="8"/>
  <c r="AJ23" i="8"/>
  <c r="R23" i="8" s="1"/>
  <c r="AT21" i="8"/>
  <c r="AS21" i="8"/>
  <c r="AR21" i="8"/>
  <c r="AQ21" i="8"/>
  <c r="AM21" i="8"/>
  <c r="AL21" i="8"/>
  <c r="AK21" i="8"/>
  <c r="R21" i="8" s="1"/>
  <c r="AJ21" i="8"/>
  <c r="AT20" i="8"/>
  <c r="AS20" i="8"/>
  <c r="AR20" i="8"/>
  <c r="AQ20" i="8"/>
  <c r="AM20" i="8"/>
  <c r="AL20" i="8"/>
  <c r="AK20" i="8"/>
  <c r="AJ20" i="8"/>
  <c r="R20" i="8" s="1"/>
  <c r="AT18" i="8"/>
  <c r="AS18" i="8"/>
  <c r="AR18" i="8"/>
  <c r="AQ18" i="8"/>
  <c r="AM18" i="8"/>
  <c r="AL18" i="8"/>
  <c r="AK18" i="8"/>
  <c r="AJ18" i="8"/>
  <c r="R18" i="8"/>
  <c r="AT17" i="8"/>
  <c r="AS17" i="8"/>
  <c r="AR17" i="8"/>
  <c r="AQ17" i="8"/>
  <c r="AM17" i="8"/>
  <c r="AL17" i="8"/>
  <c r="AK17" i="8"/>
  <c r="AJ17" i="8"/>
  <c r="R17" i="8" s="1"/>
  <c r="AT16" i="8"/>
  <c r="AS16" i="8"/>
  <c r="AR16" i="8"/>
  <c r="AQ16" i="8"/>
  <c r="AM16" i="8"/>
  <c r="AL16" i="8"/>
  <c r="AK16" i="8"/>
  <c r="R16" i="8" s="1"/>
  <c r="AJ16" i="8"/>
  <c r="AT12" i="8"/>
  <c r="AS12" i="8"/>
  <c r="AR12" i="8"/>
  <c r="AQ12" i="8"/>
  <c r="AM12" i="8"/>
  <c r="AL12" i="8"/>
  <c r="AK12" i="8"/>
  <c r="AJ12" i="8"/>
  <c r="R12" i="8" s="1"/>
  <c r="BA16" i="11" l="1"/>
  <c r="BI16" i="11"/>
  <c r="BB16" i="11"/>
  <c r="BJ16" i="11"/>
  <c r="B12" i="11"/>
  <c r="BB15" i="11"/>
  <c r="BA15" i="11"/>
  <c r="S15" i="11" s="1"/>
  <c r="BJ15" i="11"/>
  <c r="BI15" i="11"/>
  <c r="B13" i="11"/>
  <c r="BA14" i="11"/>
  <c r="S14" i="11" s="1"/>
  <c r="BA21" i="11"/>
  <c r="U21" i="11" s="1"/>
  <c r="BA22" i="11"/>
  <c r="U22" i="11" s="1"/>
  <c r="BA23" i="11"/>
  <c r="U23" i="11" s="1"/>
  <c r="BA24" i="11"/>
  <c r="U24" i="11" s="1"/>
  <c r="BA25" i="11"/>
  <c r="U25" i="11" s="1"/>
  <c r="BA26" i="11"/>
  <c r="U26" i="11" s="1"/>
  <c r="BA27" i="11"/>
  <c r="U27" i="11" s="1"/>
  <c r="BA28" i="11"/>
  <c r="U28" i="11" s="1"/>
  <c r="AY17" i="9"/>
  <c r="CN15" i="9"/>
  <c r="CF15" i="9"/>
  <c r="CE15" i="9"/>
  <c r="CD15" i="9"/>
  <c r="CC15" i="9"/>
  <c r="CQ15" i="9"/>
  <c r="CP15" i="9"/>
  <c r="CO15" i="9"/>
  <c r="AY13" i="9"/>
  <c r="CA15" i="9"/>
  <c r="CQ16" i="9"/>
  <c r="CB15" i="9"/>
  <c r="CN17" i="9"/>
  <c r="CQ12" i="9"/>
  <c r="CO17" i="9"/>
  <c r="CQ13" i="9"/>
  <c r="CP17" i="9"/>
  <c r="CN14" i="9"/>
  <c r="CC16" i="9"/>
  <c r="CQ17" i="9"/>
  <c r="CO14" i="9"/>
  <c r="CD16" i="9"/>
  <c r="A33" i="9"/>
  <c r="CC12" i="9"/>
  <c r="AY12" i="9" s="1"/>
  <c r="CP14" i="9"/>
  <c r="CE16" i="9"/>
  <c r="AY16" i="9" s="1"/>
  <c r="CM15" i="9"/>
  <c r="AS50" i="8"/>
  <c r="A110" i="8" s="1"/>
  <c r="AS53" i="8"/>
  <c r="AS59" i="8"/>
  <c r="AS62" i="8"/>
  <c r="AS65" i="8"/>
  <c r="AS71" i="8"/>
  <c r="AS74" i="8"/>
  <c r="AS77" i="8"/>
  <c r="AS83" i="8"/>
  <c r="AS86" i="8"/>
  <c r="AM51" i="8"/>
  <c r="R51" i="8" s="1"/>
  <c r="AM54" i="8"/>
  <c r="R54" i="8" s="1"/>
  <c r="AM60" i="8"/>
  <c r="R60" i="8" s="1"/>
  <c r="AM63" i="8"/>
  <c r="R63" i="8" s="1"/>
  <c r="AM66" i="8"/>
  <c r="R66" i="8" s="1"/>
  <c r="AM72" i="8"/>
  <c r="R72" i="8" s="1"/>
  <c r="AM75" i="8"/>
  <c r="R75" i="8" s="1"/>
  <c r="AM78" i="8"/>
  <c r="R78" i="8" s="1"/>
  <c r="AM84" i="8"/>
  <c r="R84" i="8" s="1"/>
  <c r="AJ49" i="8"/>
  <c r="C51" i="8"/>
  <c r="AJ52" i="8"/>
  <c r="C54" i="8"/>
  <c r="AJ58" i="8"/>
  <c r="C60" i="8"/>
  <c r="AJ61" i="8"/>
  <c r="C63" i="8"/>
  <c r="AJ64" i="8"/>
  <c r="R64" i="8" s="1"/>
  <c r="C66" i="8"/>
  <c r="AJ67" i="8"/>
  <c r="R67" i="8" s="1"/>
  <c r="C72" i="8"/>
  <c r="AJ73" i="8"/>
  <c r="R73" i="8" s="1"/>
  <c r="C75" i="8"/>
  <c r="AJ76" i="8"/>
  <c r="C78" i="8"/>
  <c r="AJ82" i="8"/>
  <c r="C84" i="8"/>
  <c r="AJ85" i="8"/>
  <c r="AK49" i="8"/>
  <c r="AR51" i="8"/>
  <c r="AK52" i="8"/>
  <c r="AR54" i="8"/>
  <c r="AK58" i="8"/>
  <c r="AR60" i="8"/>
  <c r="AK61" i="8"/>
  <c r="AR63" i="8"/>
  <c r="AK64" i="8"/>
  <c r="AR66" i="8"/>
  <c r="AK67" i="8"/>
  <c r="AR72" i="8"/>
  <c r="AK73" i="8"/>
  <c r="AR75" i="8"/>
  <c r="AK76" i="8"/>
  <c r="AR78" i="8"/>
  <c r="AK82" i="8"/>
  <c r="AR84" i="8"/>
  <c r="AK85" i="8"/>
  <c r="AL49" i="8"/>
  <c r="AL52" i="8"/>
  <c r="AL58" i="8"/>
  <c r="AL82" i="8"/>
  <c r="AL61" i="8"/>
  <c r="AL64" i="8"/>
  <c r="AL67" i="8"/>
  <c r="AL73" i="8"/>
  <c r="AL76" i="8"/>
  <c r="AL85" i="8"/>
  <c r="AM49" i="8"/>
  <c r="AM52" i="8"/>
  <c r="AM58" i="8"/>
  <c r="AM61" i="8"/>
  <c r="AM64" i="8"/>
  <c r="AM67" i="8"/>
  <c r="AM73" i="8"/>
  <c r="AM76" i="8"/>
  <c r="AM82" i="8"/>
  <c r="AM85" i="8"/>
  <c r="C49" i="8"/>
  <c r="A109" i="8" s="1"/>
  <c r="AJ50" i="8"/>
  <c r="R50" i="8" s="1"/>
  <c r="C52" i="8"/>
  <c r="AJ53" i="8"/>
  <c r="R53" i="8" s="1"/>
  <c r="C58" i="8"/>
  <c r="AJ59" i="8"/>
  <c r="R59" i="8" s="1"/>
  <c r="C61" i="8"/>
  <c r="AJ62" i="8"/>
  <c r="R62" i="8" s="1"/>
  <c r="C64" i="8"/>
  <c r="AJ65" i="8"/>
  <c r="R65" i="8" s="1"/>
  <c r="C67" i="8"/>
  <c r="AJ71" i="8"/>
  <c r="R71" i="8" s="1"/>
  <c r="C73" i="8"/>
  <c r="AJ74" i="8"/>
  <c r="R74" i="8" s="1"/>
  <c r="C76" i="8"/>
  <c r="AJ77" i="8"/>
  <c r="R77" i="8" s="1"/>
  <c r="C82" i="8"/>
  <c r="AJ83" i="8"/>
  <c r="R83" i="8" s="1"/>
  <c r="C85" i="8"/>
  <c r="AJ86" i="8"/>
  <c r="R86" i="8" s="1"/>
  <c r="S16" i="11" l="1"/>
  <c r="A41" i="11"/>
  <c r="BA13" i="11"/>
  <c r="BB13" i="11"/>
  <c r="BJ13" i="11"/>
  <c r="BI13" i="11"/>
  <c r="A42" i="11" s="1"/>
  <c r="A34" i="9"/>
  <c r="AY15" i="9"/>
  <c r="R82" i="8"/>
  <c r="R58" i="8"/>
  <c r="R76" i="8"/>
  <c r="R52" i="8"/>
  <c r="R49" i="8"/>
  <c r="R85" i="8"/>
  <c r="R61" i="8"/>
  <c r="D32" i="7"/>
  <c r="D31" i="7"/>
  <c r="D30" i="7"/>
  <c r="D29" i="7"/>
  <c r="D28" i="7"/>
  <c r="D27" i="7"/>
  <c r="D26" i="7"/>
  <c r="D25" i="7"/>
  <c r="D24" i="7"/>
  <c r="B21" i="7"/>
  <c r="B20" i="7"/>
  <c r="B19" i="7"/>
  <c r="BT18" i="7"/>
  <c r="BS18" i="7"/>
  <c r="BR18" i="7"/>
  <c r="BQ18" i="7"/>
  <c r="BP18" i="7"/>
  <c r="BO18" i="7"/>
  <c r="BN18" i="7"/>
  <c r="BM18" i="7"/>
  <c r="BH18" i="7"/>
  <c r="BG18" i="7"/>
  <c r="BF18" i="7"/>
  <c r="BE18" i="7"/>
  <c r="BD18" i="7"/>
  <c r="BC18" i="7"/>
  <c r="BB18" i="7"/>
  <c r="BA18" i="7"/>
  <c r="K18" i="7" s="1"/>
  <c r="B18" i="7"/>
  <c r="K17" i="7"/>
  <c r="B17" i="7"/>
  <c r="B14" i="7"/>
  <c r="B13" i="7"/>
  <c r="A49" i="7" s="1"/>
  <c r="B12" i="7"/>
  <c r="BT11" i="7"/>
  <c r="BS11" i="7"/>
  <c r="BR11" i="7"/>
  <c r="BQ11" i="7"/>
  <c r="BP11" i="7"/>
  <c r="BO11" i="7"/>
  <c r="BN11" i="7"/>
  <c r="BM11" i="7"/>
  <c r="A50" i="7" s="1"/>
  <c r="BH11" i="7"/>
  <c r="BG11" i="7"/>
  <c r="BF11" i="7"/>
  <c r="K11" i="7" s="1"/>
  <c r="BE11" i="7"/>
  <c r="BD11" i="7"/>
  <c r="BC11" i="7"/>
  <c r="BB11" i="7"/>
  <c r="BA11" i="7"/>
  <c r="B11" i="7"/>
  <c r="K10" i="7"/>
  <c r="B10" i="7"/>
  <c r="CT57" i="5"/>
  <c r="CS57" i="5"/>
  <c r="CR57" i="5"/>
  <c r="CQ57" i="5"/>
  <c r="CP57" i="5"/>
  <c r="CO57" i="5"/>
  <c r="CG57" i="5"/>
  <c r="CF57" i="5"/>
  <c r="CE57" i="5"/>
  <c r="CD57" i="5"/>
  <c r="CC57" i="5"/>
  <c r="CB57" i="5"/>
  <c r="AB57" i="5" s="1"/>
  <c r="CT56" i="5"/>
  <c r="CS56" i="5"/>
  <c r="CR56" i="5"/>
  <c r="CQ56" i="5"/>
  <c r="CP56" i="5"/>
  <c r="CO56" i="5"/>
  <c r="CG56" i="5"/>
  <c r="CF56" i="5"/>
  <c r="CE56" i="5"/>
  <c r="CD56" i="5"/>
  <c r="CC56" i="5"/>
  <c r="AB56" i="5" s="1"/>
  <c r="CB56" i="5"/>
  <c r="CR55" i="5"/>
  <c r="CC55" i="5"/>
  <c r="CB55" i="5"/>
  <c r="E55" i="5"/>
  <c r="CG55" i="5" s="1"/>
  <c r="D55" i="5"/>
  <c r="CF55" i="5" s="1"/>
  <c r="CT54" i="5"/>
  <c r="CP54" i="5"/>
  <c r="CG54" i="5"/>
  <c r="CE54" i="5"/>
  <c r="CC54" i="5"/>
  <c r="E54" i="5"/>
  <c r="CR54" i="5" s="1"/>
  <c r="D54" i="5"/>
  <c r="CQ54" i="5" s="1"/>
  <c r="CS53" i="5"/>
  <c r="CO53" i="5"/>
  <c r="CG53" i="5"/>
  <c r="CF53" i="5"/>
  <c r="CD53" i="5"/>
  <c r="CB53" i="5"/>
  <c r="E53" i="5"/>
  <c r="CE53" i="5" s="1"/>
  <c r="D53" i="5"/>
  <c r="CQ53" i="5" s="1"/>
  <c r="CS48" i="5"/>
  <c r="CQ48" i="5"/>
  <c r="CO48" i="5"/>
  <c r="CF48" i="5"/>
  <c r="CD48" i="5"/>
  <c r="CB48" i="5"/>
  <c r="E48" i="5"/>
  <c r="CP48" i="5" s="1"/>
  <c r="D48" i="5"/>
  <c r="C48" i="5"/>
  <c r="CN48" i="5" s="1"/>
  <c r="CS43" i="5"/>
  <c r="CR43" i="5"/>
  <c r="CQ43" i="5"/>
  <c r="CO43" i="5"/>
  <c r="CG43" i="5"/>
  <c r="CF43" i="5"/>
  <c r="CE43" i="5"/>
  <c r="CC43" i="5"/>
  <c r="CB43" i="5"/>
  <c r="E43" i="5"/>
  <c r="CT43" i="5" s="1"/>
  <c r="D43" i="5"/>
  <c r="CD43" i="5" s="1"/>
  <c r="AA38" i="5"/>
  <c r="Z38" i="5"/>
  <c r="Y38" i="5"/>
  <c r="X38" i="5"/>
  <c r="W38" i="5"/>
  <c r="V38" i="5"/>
  <c r="U38" i="5"/>
  <c r="T38" i="5"/>
  <c r="S38" i="5"/>
  <c r="R38" i="5"/>
  <c r="Q38" i="5"/>
  <c r="P38" i="5"/>
  <c r="O38" i="5"/>
  <c r="N38" i="5"/>
  <c r="M38" i="5"/>
  <c r="L38" i="5"/>
  <c r="K38" i="5"/>
  <c r="J38" i="5"/>
  <c r="I38" i="5"/>
  <c r="H38" i="5"/>
  <c r="G38" i="5"/>
  <c r="E38" i="5" s="1"/>
  <c r="F38" i="5"/>
  <c r="D38" i="5" s="1"/>
  <c r="C38" i="5" s="1"/>
  <c r="CR37" i="5"/>
  <c r="CP37" i="5"/>
  <c r="E37" i="5"/>
  <c r="CT37" i="5" s="1"/>
  <c r="D37" i="5"/>
  <c r="CQ37" i="5" s="1"/>
  <c r="CT36" i="5"/>
  <c r="CS36" i="5"/>
  <c r="CQ36" i="5"/>
  <c r="CP36" i="5"/>
  <c r="CF36" i="5"/>
  <c r="CE36" i="5"/>
  <c r="CD36" i="5"/>
  <c r="CC36" i="5"/>
  <c r="E36" i="5"/>
  <c r="CR36" i="5" s="1"/>
  <c r="D36" i="5"/>
  <c r="CB36" i="5" s="1"/>
  <c r="C36" i="5"/>
  <c r="CT35" i="5"/>
  <c r="CQ35" i="5"/>
  <c r="CP35" i="5"/>
  <c r="CO35" i="5"/>
  <c r="CG35" i="5"/>
  <c r="CE35" i="5"/>
  <c r="CD35" i="5"/>
  <c r="CC35" i="5"/>
  <c r="CB35" i="5"/>
  <c r="E35" i="5"/>
  <c r="CR35" i="5" s="1"/>
  <c r="D35" i="5"/>
  <c r="CF35" i="5" s="1"/>
  <c r="C35" i="5"/>
  <c r="CR34" i="5"/>
  <c r="CP34" i="5"/>
  <c r="E34" i="5"/>
  <c r="CG34" i="5" s="1"/>
  <c r="D34" i="5"/>
  <c r="CQ34" i="5" s="1"/>
  <c r="AA29" i="5"/>
  <c r="Z29" i="5"/>
  <c r="Y29" i="5"/>
  <c r="X29" i="5"/>
  <c r="W29" i="5"/>
  <c r="V29" i="5"/>
  <c r="U29" i="5"/>
  <c r="T29" i="5"/>
  <c r="S29" i="5"/>
  <c r="R29" i="5"/>
  <c r="Q29" i="5"/>
  <c r="P29" i="5"/>
  <c r="O29" i="5"/>
  <c r="E29" i="5" s="1"/>
  <c r="N29" i="5"/>
  <c r="M29" i="5"/>
  <c r="L29" i="5"/>
  <c r="K29" i="5"/>
  <c r="J29" i="5"/>
  <c r="I29" i="5"/>
  <c r="H29" i="5"/>
  <c r="G29" i="5"/>
  <c r="F29" i="5"/>
  <c r="D29" i="5" s="1"/>
  <c r="CQ28" i="5"/>
  <c r="CO28" i="5"/>
  <c r="CD28" i="5"/>
  <c r="CB28" i="5"/>
  <c r="E28" i="5"/>
  <c r="CR28" i="5" s="1"/>
  <c r="D28" i="5"/>
  <c r="CQ27" i="5"/>
  <c r="CO27" i="5"/>
  <c r="CD27" i="5"/>
  <c r="CB27" i="5"/>
  <c r="E27" i="5"/>
  <c r="CR27" i="5" s="1"/>
  <c r="D27" i="5"/>
  <c r="CQ26" i="5"/>
  <c r="CO26" i="5"/>
  <c r="CD26" i="5"/>
  <c r="CB26" i="5"/>
  <c r="E26" i="5"/>
  <c r="CR26" i="5" s="1"/>
  <c r="D26" i="5"/>
  <c r="R21" i="5"/>
  <c r="P21" i="5"/>
  <c r="F21" i="5"/>
  <c r="AA20" i="5"/>
  <c r="Z20" i="5"/>
  <c r="Y20" i="5"/>
  <c r="X20" i="5"/>
  <c r="W20" i="5"/>
  <c r="V20" i="5"/>
  <c r="U20" i="5"/>
  <c r="U21" i="5" s="1"/>
  <c r="T20" i="5"/>
  <c r="T21" i="5" s="1"/>
  <c r="S20" i="5"/>
  <c r="S21" i="5" s="1"/>
  <c r="R20" i="5"/>
  <c r="Q20" i="5"/>
  <c r="P20" i="5"/>
  <c r="O20" i="5"/>
  <c r="N20" i="5"/>
  <c r="M20" i="5"/>
  <c r="L20" i="5"/>
  <c r="K20" i="5"/>
  <c r="J20" i="5"/>
  <c r="I20" i="5"/>
  <c r="I21" i="5" s="1"/>
  <c r="H20" i="5"/>
  <c r="D20" i="5" s="1"/>
  <c r="G20" i="5"/>
  <c r="G21" i="5" s="1"/>
  <c r="F20" i="5"/>
  <c r="E20" i="5"/>
  <c r="CT19" i="5"/>
  <c r="CS19" i="5"/>
  <c r="CQ19" i="5"/>
  <c r="CP19" i="5"/>
  <c r="CO19" i="5"/>
  <c r="CG19" i="5"/>
  <c r="CF19" i="5"/>
  <c r="CD19" i="5"/>
  <c r="E19" i="5"/>
  <c r="CE19" i="5" s="1"/>
  <c r="D19" i="5"/>
  <c r="CB19" i="5" s="1"/>
  <c r="CR18" i="5"/>
  <c r="CQ18" i="5"/>
  <c r="CO18" i="5"/>
  <c r="E18" i="5"/>
  <c r="CP18" i="5" s="1"/>
  <c r="D18" i="5"/>
  <c r="CF18" i="5" s="1"/>
  <c r="CS17" i="5"/>
  <c r="CO17" i="5"/>
  <c r="CF17" i="5"/>
  <c r="CD17" i="5"/>
  <c r="CB17" i="5"/>
  <c r="E17" i="5"/>
  <c r="CT17" i="5" s="1"/>
  <c r="D17" i="5"/>
  <c r="CQ17" i="5" s="1"/>
  <c r="CT16" i="5"/>
  <c r="CS16" i="5"/>
  <c r="CQ16" i="5"/>
  <c r="CP16" i="5"/>
  <c r="CO16" i="5"/>
  <c r="CG16" i="5"/>
  <c r="CF16" i="5"/>
  <c r="CD16" i="5"/>
  <c r="E16" i="5"/>
  <c r="CE16" i="5" s="1"/>
  <c r="D16" i="5"/>
  <c r="CB16" i="5" s="1"/>
  <c r="AA15" i="5"/>
  <c r="AA21" i="5" s="1"/>
  <c r="Z15" i="5"/>
  <c r="Z21" i="5" s="1"/>
  <c r="Y15" i="5"/>
  <c r="Y21" i="5" s="1"/>
  <c r="X15" i="5"/>
  <c r="X21" i="5" s="1"/>
  <c r="W15" i="5"/>
  <c r="W21" i="5" s="1"/>
  <c r="V15" i="5"/>
  <c r="V21" i="5" s="1"/>
  <c r="U15" i="5"/>
  <c r="T15" i="5"/>
  <c r="S15" i="5"/>
  <c r="R15" i="5"/>
  <c r="Q15" i="5"/>
  <c r="Q21" i="5" s="1"/>
  <c r="P15" i="5"/>
  <c r="O15" i="5"/>
  <c r="O21" i="5" s="1"/>
  <c r="N15" i="5"/>
  <c r="N21" i="5" s="1"/>
  <c r="M15" i="5"/>
  <c r="M21" i="5" s="1"/>
  <c r="L15" i="5"/>
  <c r="L21" i="5" s="1"/>
  <c r="K15" i="5"/>
  <c r="K21" i="5" s="1"/>
  <c r="J15" i="5"/>
  <c r="J21" i="5" s="1"/>
  <c r="I15" i="5"/>
  <c r="H15" i="5"/>
  <c r="G15" i="5"/>
  <c r="E15" i="5" s="1"/>
  <c r="F15" i="5"/>
  <c r="D15" i="5" s="1"/>
  <c r="CR14" i="5"/>
  <c r="CP14" i="5"/>
  <c r="E14" i="5"/>
  <c r="CG14" i="5" s="1"/>
  <c r="D14" i="5"/>
  <c r="CQ14" i="5" s="1"/>
  <c r="CT13" i="5"/>
  <c r="CQ13" i="5"/>
  <c r="CP13" i="5"/>
  <c r="CO13" i="5"/>
  <c r="CG13" i="5"/>
  <c r="CF13" i="5"/>
  <c r="CE13" i="5"/>
  <c r="CD13" i="5"/>
  <c r="CC13" i="5"/>
  <c r="CB13" i="5"/>
  <c r="AB13" i="5"/>
  <c r="E13" i="5"/>
  <c r="CR13" i="5" s="1"/>
  <c r="D13" i="5"/>
  <c r="CS13" i="5" s="1"/>
  <c r="CT12" i="5"/>
  <c r="CR12" i="5"/>
  <c r="CQ12" i="5"/>
  <c r="CP12" i="5"/>
  <c r="CO12" i="5"/>
  <c r="CG12" i="5"/>
  <c r="CE12" i="5"/>
  <c r="CB12" i="5"/>
  <c r="E12" i="5"/>
  <c r="CC12" i="5" s="1"/>
  <c r="D12" i="5"/>
  <c r="CF12" i="5" s="1"/>
  <c r="S13" i="11" l="1"/>
  <c r="E21" i="5"/>
  <c r="AB35" i="5"/>
  <c r="CM55" i="5"/>
  <c r="AB19" i="5"/>
  <c r="C29" i="5"/>
  <c r="CS14" i="5"/>
  <c r="CT18" i="5"/>
  <c r="CC26" i="5"/>
  <c r="AB26" i="5" s="1"/>
  <c r="CC27" i="5"/>
  <c r="AB27" i="5" s="1"/>
  <c r="CC28" i="5"/>
  <c r="AB28" i="5" s="1"/>
  <c r="CB34" i="5"/>
  <c r="AB34" i="5" s="1"/>
  <c r="CB37" i="5"/>
  <c r="CT48" i="5"/>
  <c r="CD54" i="5"/>
  <c r="CO55" i="5"/>
  <c r="CT14" i="5"/>
  <c r="CS18" i="5"/>
  <c r="H21" i="5"/>
  <c r="D21" i="5" s="1"/>
  <c r="CT34" i="5"/>
  <c r="CA48" i="5"/>
  <c r="CN53" i="5"/>
  <c r="CB14" i="5"/>
  <c r="CC14" i="5"/>
  <c r="A81" i="5"/>
  <c r="CB18" i="5"/>
  <c r="AB18" i="5" s="1"/>
  <c r="CC34" i="5"/>
  <c r="CG36" i="5"/>
  <c r="AB36" i="5" s="1"/>
  <c r="CC37" i="5"/>
  <c r="C43" i="5"/>
  <c r="CC48" i="5"/>
  <c r="CA55" i="5"/>
  <c r="AB55" i="5" s="1"/>
  <c r="CP53" i="5"/>
  <c r="CP55" i="5"/>
  <c r="CN56" i="5"/>
  <c r="CE17" i="5"/>
  <c r="CS12" i="5"/>
  <c r="CD14" i="5"/>
  <c r="CR16" i="5"/>
  <c r="CG17" i="5"/>
  <c r="CC18" i="5"/>
  <c r="CR19" i="5"/>
  <c r="CE26" i="5"/>
  <c r="CE27" i="5"/>
  <c r="CE28" i="5"/>
  <c r="CD34" i="5"/>
  <c r="CS35" i="5"/>
  <c r="CO36" i="5"/>
  <c r="CD37" i="5"/>
  <c r="CP43" i="5"/>
  <c r="CF54" i="5"/>
  <c r="CQ55" i="5"/>
  <c r="CB54" i="5"/>
  <c r="AB54" i="5" s="1"/>
  <c r="CE14" i="5"/>
  <c r="CD18" i="5"/>
  <c r="CE34" i="5"/>
  <c r="CE37" i="5"/>
  <c r="CE48" i="5"/>
  <c r="CR53" i="5"/>
  <c r="CN57" i="5"/>
  <c r="CF37" i="5"/>
  <c r="CN54" i="5"/>
  <c r="CS55" i="5"/>
  <c r="CP17" i="5"/>
  <c r="CP28" i="5"/>
  <c r="CG37" i="5"/>
  <c r="CG48" i="5"/>
  <c r="CT53" i="5"/>
  <c r="CO54" i="5"/>
  <c r="CT55" i="5"/>
  <c r="CS54" i="5"/>
  <c r="CC17" i="5"/>
  <c r="AB17" i="5" s="1"/>
  <c r="CS34" i="5"/>
  <c r="CS37" i="5"/>
  <c r="CR48" i="5"/>
  <c r="CN55" i="5"/>
  <c r="CF14" i="5"/>
  <c r="CE18" i="5"/>
  <c r="CP26" i="5"/>
  <c r="CP27" i="5"/>
  <c r="CF34" i="5"/>
  <c r="CD12" i="5"/>
  <c r="AB12" i="5" s="1"/>
  <c r="CO14" i="5"/>
  <c r="CC16" i="5"/>
  <c r="AB16" i="5" s="1"/>
  <c r="CR17" i="5"/>
  <c r="CG18" i="5"/>
  <c r="CC19" i="5"/>
  <c r="CO34" i="5"/>
  <c r="CO37" i="5"/>
  <c r="CC53" i="5"/>
  <c r="AB53" i="5" s="1"/>
  <c r="CD55" i="5"/>
  <c r="CE55" i="5"/>
  <c r="C34" i="5"/>
  <c r="C37" i="5"/>
  <c r="A82" i="5" l="1"/>
  <c r="AB48" i="5"/>
  <c r="AB37" i="5"/>
  <c r="AB14" i="5"/>
  <c r="CA43" i="5"/>
  <c r="AB43" i="5" s="1"/>
  <c r="CN43" i="5"/>
  <c r="AR84" i="3"/>
  <c r="E84" i="3"/>
  <c r="D84" i="3"/>
  <c r="C84" i="3"/>
  <c r="AR83" i="3"/>
  <c r="E83" i="3"/>
  <c r="D83" i="3"/>
  <c r="C83" i="3"/>
  <c r="AR82" i="3"/>
  <c r="E82" i="3"/>
  <c r="D82" i="3"/>
  <c r="C82" i="3" s="1"/>
  <c r="AR81" i="3"/>
  <c r="E81" i="3"/>
  <c r="D81" i="3"/>
  <c r="C81" i="3"/>
  <c r="AR80" i="3"/>
  <c r="E80" i="3"/>
  <c r="D80" i="3"/>
  <c r="C80" i="3"/>
  <c r="AR79" i="3"/>
  <c r="E79" i="3"/>
  <c r="C79" i="3" s="1"/>
  <c r="D79" i="3"/>
  <c r="AR78" i="3"/>
  <c r="E78" i="3"/>
  <c r="D78" i="3"/>
  <c r="C78" i="3"/>
  <c r="AR77" i="3"/>
  <c r="E77" i="3"/>
  <c r="D77" i="3"/>
  <c r="C77" i="3"/>
  <c r="AR76" i="3"/>
  <c r="E76" i="3"/>
  <c r="D76" i="3"/>
  <c r="C76" i="3"/>
  <c r="AR71" i="3"/>
  <c r="E71" i="3"/>
  <c r="D71" i="3"/>
  <c r="C71" i="3"/>
  <c r="AR70" i="3"/>
  <c r="E70" i="3"/>
  <c r="D70" i="3"/>
  <c r="C70" i="3"/>
  <c r="AR69" i="3"/>
  <c r="E69" i="3"/>
  <c r="D69" i="3"/>
  <c r="C69" i="3"/>
  <c r="AR68" i="3"/>
  <c r="E68" i="3"/>
  <c r="D68" i="3"/>
  <c r="C68" i="3"/>
  <c r="AR67" i="3"/>
  <c r="E67" i="3"/>
  <c r="D67" i="3"/>
  <c r="C67" i="3"/>
  <c r="AR66" i="3"/>
  <c r="E66" i="3"/>
  <c r="D66" i="3"/>
  <c r="C66" i="3"/>
  <c r="AR65" i="3"/>
  <c r="E65" i="3"/>
  <c r="D65" i="3"/>
  <c r="C65" i="3"/>
  <c r="AR60" i="3"/>
  <c r="E60" i="3"/>
  <c r="D60" i="3"/>
  <c r="C60" i="3"/>
  <c r="AR59" i="3"/>
  <c r="E59" i="3"/>
  <c r="D59" i="3"/>
  <c r="C59" i="3"/>
  <c r="AR58" i="3"/>
  <c r="E58" i="3"/>
  <c r="D58" i="3"/>
  <c r="C58" i="3"/>
  <c r="AR57" i="3"/>
  <c r="E57" i="3"/>
  <c r="D57" i="3"/>
  <c r="C57" i="3"/>
  <c r="O52" i="3"/>
  <c r="B52" i="3"/>
  <c r="E47" i="3"/>
  <c r="D47" i="3"/>
  <c r="C47" i="3"/>
  <c r="E46" i="3"/>
  <c r="D46" i="3"/>
  <c r="C46" i="3"/>
  <c r="E45" i="3"/>
  <c r="D45" i="3"/>
  <c r="C45" i="3"/>
  <c r="E44" i="3"/>
  <c r="D44" i="3"/>
  <c r="C44" i="3"/>
  <c r="E43" i="3"/>
  <c r="D43" i="3"/>
  <c r="C43" i="3"/>
  <c r="E42" i="3"/>
  <c r="D42" i="3"/>
  <c r="C42" i="3"/>
  <c r="E41" i="3"/>
  <c r="D41" i="3"/>
  <c r="C41" i="3"/>
  <c r="E40" i="3"/>
  <c r="D40" i="3"/>
  <c r="C40" i="3"/>
  <c r="E39" i="3"/>
  <c r="D39" i="3"/>
  <c r="C39" i="3"/>
  <c r="E38" i="3"/>
  <c r="D38" i="3"/>
  <c r="E37" i="3"/>
  <c r="D37" i="3"/>
  <c r="C37" i="3" s="1"/>
  <c r="E36" i="3"/>
  <c r="C36" i="3" s="1"/>
  <c r="D36" i="3"/>
  <c r="E35" i="3"/>
  <c r="D35" i="3"/>
  <c r="C35" i="3"/>
  <c r="E34" i="3"/>
  <c r="C34" i="3" s="1"/>
  <c r="D34" i="3"/>
  <c r="E33" i="3"/>
  <c r="D33" i="3"/>
  <c r="C33" i="3" s="1"/>
  <c r="E32" i="3"/>
  <c r="D32" i="3"/>
  <c r="E31" i="3"/>
  <c r="D31" i="3"/>
  <c r="E30" i="3"/>
  <c r="D30" i="3"/>
  <c r="E29" i="3"/>
  <c r="D29" i="3"/>
  <c r="E28" i="3"/>
  <c r="D28" i="3"/>
  <c r="E27" i="3"/>
  <c r="D27" i="3"/>
  <c r="C27" i="3"/>
  <c r="E26" i="3"/>
  <c r="D26" i="3"/>
  <c r="C26" i="3"/>
  <c r="E25" i="3"/>
  <c r="D25" i="3"/>
  <c r="C25" i="3"/>
  <c r="E24" i="3"/>
  <c r="D24" i="3"/>
  <c r="E23" i="3"/>
  <c r="D23" i="3"/>
  <c r="E22" i="3"/>
  <c r="D22" i="3"/>
  <c r="E21" i="3"/>
  <c r="D21" i="3"/>
  <c r="E20" i="3"/>
  <c r="D20" i="3"/>
  <c r="E19" i="3"/>
  <c r="D19" i="3"/>
  <c r="E18" i="3"/>
  <c r="D18" i="3"/>
  <c r="E17" i="3"/>
  <c r="D17" i="3"/>
  <c r="E16" i="3"/>
  <c r="D16" i="3"/>
  <c r="E15" i="3"/>
  <c r="D15" i="3"/>
  <c r="E14" i="3"/>
  <c r="D14" i="3"/>
  <c r="E13" i="3"/>
  <c r="D13" i="3"/>
  <c r="E12" i="3"/>
  <c r="D12" i="3"/>
  <c r="CF213" i="2" l="1"/>
  <c r="E213" i="2"/>
  <c r="CG213" i="2" s="1"/>
  <c r="D213" i="2"/>
  <c r="DI213" i="2" s="1"/>
  <c r="AG212" i="2"/>
  <c r="AF212" i="2"/>
  <c r="AE212" i="2"/>
  <c r="AD212" i="2"/>
  <c r="AC212" i="2"/>
  <c r="AB212" i="2"/>
  <c r="AA212" i="2"/>
  <c r="Z212" i="2"/>
  <c r="Y212" i="2"/>
  <c r="X212" i="2"/>
  <c r="W212" i="2"/>
  <c r="V212" i="2"/>
  <c r="U212" i="2"/>
  <c r="T212" i="2"/>
  <c r="S212" i="2"/>
  <c r="R212" i="2"/>
  <c r="Q212" i="2"/>
  <c r="P212" i="2"/>
  <c r="O212" i="2"/>
  <c r="N212" i="2"/>
  <c r="M212" i="2"/>
  <c r="L212" i="2"/>
  <c r="K212" i="2"/>
  <c r="J212" i="2"/>
  <c r="I212" i="2"/>
  <c r="H212" i="2"/>
  <c r="G212" i="2"/>
  <c r="E212" i="2" s="1"/>
  <c r="F212" i="2"/>
  <c r="DJ211" i="2"/>
  <c r="DC211" i="2"/>
  <c r="CE211" i="2"/>
  <c r="E211" i="2"/>
  <c r="DH211" i="2" s="1"/>
  <c r="D211" i="2"/>
  <c r="CF211" i="2" s="1"/>
  <c r="DG210" i="2"/>
  <c r="DF210" i="2"/>
  <c r="DD210" i="2"/>
  <c r="DB210" i="2"/>
  <c r="CH210" i="2"/>
  <c r="CF210" i="2"/>
  <c r="CB210" i="2"/>
  <c r="E210" i="2"/>
  <c r="DC210" i="2" s="1"/>
  <c r="D210" i="2"/>
  <c r="DI210" i="2" s="1"/>
  <c r="DI209" i="2"/>
  <c r="DH209" i="2"/>
  <c r="DG209" i="2"/>
  <c r="DD209" i="2"/>
  <c r="DB209" i="2"/>
  <c r="CI209" i="2"/>
  <c r="CH209" i="2"/>
  <c r="CF209" i="2"/>
  <c r="CD209" i="2"/>
  <c r="CC209" i="2"/>
  <c r="CB209" i="2"/>
  <c r="E209" i="2"/>
  <c r="CG209" i="2" s="1"/>
  <c r="D209" i="2"/>
  <c r="C209" i="2"/>
  <c r="DI208" i="2"/>
  <c r="DG208" i="2"/>
  <c r="DD208" i="2"/>
  <c r="DB208" i="2"/>
  <c r="CF208" i="2"/>
  <c r="E208" i="2"/>
  <c r="D208" i="2"/>
  <c r="CH208" i="2" s="1"/>
  <c r="DI207" i="2"/>
  <c r="DG207" i="2"/>
  <c r="DD207" i="2"/>
  <c r="DB207" i="2"/>
  <c r="CH207" i="2"/>
  <c r="CF207" i="2"/>
  <c r="CD207" i="2"/>
  <c r="CB207" i="2"/>
  <c r="E207" i="2"/>
  <c r="C207" i="2" s="1"/>
  <c r="D207" i="2"/>
  <c r="DI206" i="2"/>
  <c r="DG206" i="2"/>
  <c r="DD206" i="2"/>
  <c r="DB206" i="2"/>
  <c r="CH206" i="2"/>
  <c r="CF206" i="2"/>
  <c r="CD206" i="2"/>
  <c r="CC206" i="2"/>
  <c r="CB206" i="2"/>
  <c r="E206" i="2"/>
  <c r="DH206" i="2" s="1"/>
  <c r="D206"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H205" i="2"/>
  <c r="G205" i="2"/>
  <c r="F205" i="2"/>
  <c r="D205" i="2" s="1"/>
  <c r="E205" i="2"/>
  <c r="DJ205" i="2" s="1"/>
  <c r="DJ204" i="2"/>
  <c r="DH204" i="2"/>
  <c r="DF204" i="2"/>
  <c r="DC204" i="2"/>
  <c r="CI204" i="2"/>
  <c r="CG204" i="2"/>
  <c r="CE204" i="2"/>
  <c r="CC204" i="2"/>
  <c r="E204" i="2"/>
  <c r="D204" i="2"/>
  <c r="DG204" i="2" s="1"/>
  <c r="DJ203" i="2"/>
  <c r="DH203" i="2"/>
  <c r="DF203" i="2"/>
  <c r="DC203" i="2"/>
  <c r="DB203" i="2"/>
  <c r="CI203" i="2"/>
  <c r="CG203" i="2"/>
  <c r="CE203" i="2"/>
  <c r="CD203" i="2"/>
  <c r="CC203" i="2"/>
  <c r="E203" i="2"/>
  <c r="D203" i="2"/>
  <c r="C203" i="2" s="1"/>
  <c r="DJ202" i="2"/>
  <c r="DH202" i="2"/>
  <c r="DF202" i="2"/>
  <c r="DC202" i="2"/>
  <c r="CI202" i="2"/>
  <c r="CG202" i="2"/>
  <c r="CE202" i="2"/>
  <c r="E202" i="2"/>
  <c r="CC202" i="2" s="1"/>
  <c r="D202" i="2"/>
  <c r="DI197" i="2"/>
  <c r="DG197" i="2"/>
  <c r="DF197" i="2"/>
  <c r="CI197" i="2"/>
  <c r="CE197" i="2"/>
  <c r="CC197" i="2"/>
  <c r="CB197" i="2"/>
  <c r="E197" i="2"/>
  <c r="D197" i="2"/>
  <c r="DI196" i="2"/>
  <c r="DH196" i="2"/>
  <c r="DG196" i="2"/>
  <c r="CI196" i="2"/>
  <c r="CE196" i="2"/>
  <c r="CD196" i="2"/>
  <c r="CC196" i="2"/>
  <c r="E196" i="2"/>
  <c r="D196" i="2"/>
  <c r="C196" i="2" s="1"/>
  <c r="CI195" i="2"/>
  <c r="CE195" i="2"/>
  <c r="E195" i="2"/>
  <c r="CC195" i="2" s="1"/>
  <c r="D195" i="2"/>
  <c r="AU194" i="2"/>
  <c r="AT194" i="2"/>
  <c r="AS194" i="2"/>
  <c r="AR194" i="2"/>
  <c r="AQ194" i="2"/>
  <c r="AP194" i="2"/>
  <c r="AO194" i="2"/>
  <c r="AN194" i="2"/>
  <c r="AM194" i="2"/>
  <c r="AL194" i="2"/>
  <c r="AK194" i="2"/>
  <c r="AJ194" i="2"/>
  <c r="AI194" i="2"/>
  <c r="AH194" i="2"/>
  <c r="AG194" i="2"/>
  <c r="AF194" i="2"/>
  <c r="AE194" i="2"/>
  <c r="AD194" i="2"/>
  <c r="AC194" i="2"/>
  <c r="AB194" i="2"/>
  <c r="AA194" i="2"/>
  <c r="Z194" i="2"/>
  <c r="Y194" i="2"/>
  <c r="X194" i="2"/>
  <c r="W194" i="2"/>
  <c r="V194" i="2"/>
  <c r="U194" i="2"/>
  <c r="T194" i="2"/>
  <c r="S194" i="2"/>
  <c r="R194" i="2"/>
  <c r="Q194" i="2"/>
  <c r="P194" i="2"/>
  <c r="O194" i="2"/>
  <c r="N194" i="2"/>
  <c r="M194" i="2"/>
  <c r="L194" i="2"/>
  <c r="K194" i="2"/>
  <c r="J194" i="2"/>
  <c r="I194" i="2"/>
  <c r="H194" i="2"/>
  <c r="G194" i="2"/>
  <c r="E194" i="2" s="1"/>
  <c r="F194" i="2"/>
  <c r="D194" i="2" s="1"/>
  <c r="DH194" i="2" s="1"/>
  <c r="DH189" i="2"/>
  <c r="DF189" i="2"/>
  <c r="CD189" i="2"/>
  <c r="CB189" i="2"/>
  <c r="E189" i="2"/>
  <c r="D189" i="2"/>
  <c r="DH188" i="2"/>
  <c r="DG188" i="2"/>
  <c r="DF188" i="2"/>
  <c r="CD188" i="2"/>
  <c r="CB188" i="2"/>
  <c r="E188" i="2"/>
  <c r="C188" i="2" s="1"/>
  <c r="D188" i="2"/>
  <c r="DH187" i="2"/>
  <c r="DF187" i="2"/>
  <c r="CD187" i="2"/>
  <c r="CB187" i="2"/>
  <c r="E187" i="2"/>
  <c r="C187" i="2" s="1"/>
  <c r="D187" i="2"/>
  <c r="DH186" i="2"/>
  <c r="DF186" i="2"/>
  <c r="CD186" i="2"/>
  <c r="CB186" i="2"/>
  <c r="E186" i="2"/>
  <c r="C186" i="2" s="1"/>
  <c r="D186" i="2"/>
  <c r="DH185" i="2"/>
  <c r="DF185" i="2"/>
  <c r="CD185" i="2"/>
  <c r="CB185" i="2"/>
  <c r="E185" i="2"/>
  <c r="D185" i="2"/>
  <c r="DH184" i="2"/>
  <c r="DG184" i="2"/>
  <c r="DF184" i="2"/>
  <c r="CD184" i="2"/>
  <c r="CB184" i="2"/>
  <c r="E184" i="2"/>
  <c r="C184" i="2" s="1"/>
  <c r="D184" i="2"/>
  <c r="DH183" i="2"/>
  <c r="DF183" i="2"/>
  <c r="CD183" i="2"/>
  <c r="CB183" i="2"/>
  <c r="E183" i="2"/>
  <c r="C183" i="2" s="1"/>
  <c r="D183" i="2"/>
  <c r="DH182" i="2"/>
  <c r="DF182" i="2"/>
  <c r="CD182" i="2"/>
  <c r="CB182" i="2"/>
  <c r="E182" i="2"/>
  <c r="C182" i="2" s="1"/>
  <c r="D182" i="2"/>
  <c r="DH181" i="2"/>
  <c r="DF181" i="2"/>
  <c r="CD181" i="2"/>
  <c r="CB181" i="2"/>
  <c r="E181" i="2"/>
  <c r="D181" i="2"/>
  <c r="DH180" i="2"/>
  <c r="DG180" i="2"/>
  <c r="DF180" i="2"/>
  <c r="CD180" i="2"/>
  <c r="CB180" i="2"/>
  <c r="E180" i="2"/>
  <c r="C180" i="2" s="1"/>
  <c r="D180" i="2"/>
  <c r="DH179" i="2"/>
  <c r="DF179" i="2"/>
  <c r="CD179" i="2"/>
  <c r="CB179" i="2"/>
  <c r="E179" i="2"/>
  <c r="C179" i="2" s="1"/>
  <c r="D179" i="2"/>
  <c r="DH178" i="2"/>
  <c r="DF178" i="2"/>
  <c r="CD178" i="2"/>
  <c r="CB178" i="2"/>
  <c r="E178" i="2"/>
  <c r="C178" i="2" s="1"/>
  <c r="D178" i="2"/>
  <c r="DH177" i="2"/>
  <c r="DF177" i="2"/>
  <c r="CD177" i="2"/>
  <c r="CB177" i="2"/>
  <c r="E177" i="2"/>
  <c r="D177" i="2"/>
  <c r="DH176" i="2"/>
  <c r="DG176" i="2"/>
  <c r="DF176" i="2"/>
  <c r="CD176" i="2"/>
  <c r="CB176" i="2"/>
  <c r="E176" i="2"/>
  <c r="D176" i="2"/>
  <c r="C176" i="2"/>
  <c r="DH175" i="2"/>
  <c r="DF175" i="2"/>
  <c r="CD175" i="2"/>
  <c r="CB175" i="2"/>
  <c r="E175" i="2"/>
  <c r="C175" i="2" s="1"/>
  <c r="D175" i="2"/>
  <c r="DH174" i="2"/>
  <c r="DF174" i="2"/>
  <c r="CD174" i="2"/>
  <c r="CB174" i="2"/>
  <c r="E174" i="2"/>
  <c r="C174" i="2" s="1"/>
  <c r="D174" i="2"/>
  <c r="DH173" i="2"/>
  <c r="DF173" i="2"/>
  <c r="CD173" i="2"/>
  <c r="CB173" i="2"/>
  <c r="E173" i="2"/>
  <c r="D173" i="2"/>
  <c r="DH172" i="2"/>
  <c r="DG172" i="2"/>
  <c r="DF172" i="2"/>
  <c r="CD172" i="2"/>
  <c r="CB172" i="2"/>
  <c r="E172" i="2"/>
  <c r="D172" i="2"/>
  <c r="C172" i="2"/>
  <c r="DH171" i="2"/>
  <c r="DF171" i="2"/>
  <c r="CD171" i="2"/>
  <c r="CB171" i="2"/>
  <c r="E171" i="2"/>
  <c r="C171" i="2" s="1"/>
  <c r="D171" i="2"/>
  <c r="DH170" i="2"/>
  <c r="DF170" i="2"/>
  <c r="CD170" i="2"/>
  <c r="CB170" i="2"/>
  <c r="E170" i="2"/>
  <c r="C170" i="2" s="1"/>
  <c r="D170" i="2"/>
  <c r="DH169" i="2"/>
  <c r="DF169" i="2"/>
  <c r="CD169" i="2"/>
  <c r="CB169" i="2"/>
  <c r="E169" i="2"/>
  <c r="D169" i="2"/>
  <c r="DH168" i="2"/>
  <c r="DG168" i="2"/>
  <c r="DF168" i="2"/>
  <c r="CD168" i="2"/>
  <c r="CB168" i="2"/>
  <c r="E168" i="2"/>
  <c r="D168" i="2"/>
  <c r="C168" i="2"/>
  <c r="DH167" i="2"/>
  <c r="DF167" i="2"/>
  <c r="CD167" i="2"/>
  <c r="CB167" i="2"/>
  <c r="E167" i="2"/>
  <c r="C167" i="2" s="1"/>
  <c r="D167" i="2"/>
  <c r="DH166" i="2"/>
  <c r="DF166" i="2"/>
  <c r="CD166" i="2"/>
  <c r="CB166" i="2"/>
  <c r="E166" i="2"/>
  <c r="C166" i="2" s="1"/>
  <c r="D166" i="2"/>
  <c r="DH165" i="2"/>
  <c r="DF165" i="2"/>
  <c r="CD165" i="2"/>
  <c r="CB165" i="2"/>
  <c r="E165" i="2"/>
  <c r="D165" i="2"/>
  <c r="DH164" i="2"/>
  <c r="DG164" i="2"/>
  <c r="DF164" i="2"/>
  <c r="CD164" i="2"/>
  <c r="CB164" i="2"/>
  <c r="E164" i="2"/>
  <c r="D164" i="2"/>
  <c r="C164" i="2"/>
  <c r="DH163" i="2"/>
  <c r="DF163" i="2"/>
  <c r="CD163" i="2"/>
  <c r="CB163" i="2"/>
  <c r="E163" i="2"/>
  <c r="C163" i="2" s="1"/>
  <c r="D163" i="2"/>
  <c r="DH162" i="2"/>
  <c r="DF162" i="2"/>
  <c r="CD162" i="2"/>
  <c r="CB162" i="2"/>
  <c r="E162" i="2"/>
  <c r="C162" i="2" s="1"/>
  <c r="D162" i="2"/>
  <c r="DH161" i="2"/>
  <c r="DF161" i="2"/>
  <c r="CD161" i="2"/>
  <c r="CB161" i="2"/>
  <c r="E161" i="2"/>
  <c r="D161" i="2"/>
  <c r="DH160" i="2"/>
  <c r="DG160" i="2"/>
  <c r="DF160" i="2"/>
  <c r="CD160" i="2"/>
  <c r="CB160" i="2"/>
  <c r="E160" i="2"/>
  <c r="D160" i="2"/>
  <c r="C160" i="2"/>
  <c r="DH159" i="2"/>
  <c r="DF159" i="2"/>
  <c r="CD159" i="2"/>
  <c r="CB159" i="2"/>
  <c r="E159" i="2"/>
  <c r="C159" i="2" s="1"/>
  <c r="D159" i="2"/>
  <c r="DH158" i="2"/>
  <c r="DF158" i="2"/>
  <c r="CD158" i="2"/>
  <c r="CB158" i="2"/>
  <c r="E158" i="2"/>
  <c r="C158" i="2" s="1"/>
  <c r="D158" i="2"/>
  <c r="DH157" i="2"/>
  <c r="DF157" i="2"/>
  <c r="CD157" i="2"/>
  <c r="CB157" i="2"/>
  <c r="E157" i="2"/>
  <c r="D157" i="2"/>
  <c r="DH156" i="2"/>
  <c r="DG156" i="2"/>
  <c r="DF156" i="2"/>
  <c r="CD156" i="2"/>
  <c r="CB156" i="2"/>
  <c r="E156" i="2"/>
  <c r="D156" i="2"/>
  <c r="C156" i="2"/>
  <c r="DH155" i="2"/>
  <c r="DF155" i="2"/>
  <c r="CD155" i="2"/>
  <c r="CB155" i="2"/>
  <c r="E155" i="2"/>
  <c r="C155" i="2" s="1"/>
  <c r="D155" i="2"/>
  <c r="DH154" i="2"/>
  <c r="DF154" i="2"/>
  <c r="CD154" i="2"/>
  <c r="CB154" i="2"/>
  <c r="E154" i="2"/>
  <c r="C154" i="2" s="1"/>
  <c r="D154" i="2"/>
  <c r="DH153" i="2"/>
  <c r="DF153" i="2"/>
  <c r="CD153" i="2"/>
  <c r="CB153" i="2"/>
  <c r="E153" i="2"/>
  <c r="D153" i="2"/>
  <c r="DH152" i="2"/>
  <c r="DG152" i="2"/>
  <c r="DF152" i="2"/>
  <c r="CD152" i="2"/>
  <c r="CB152" i="2"/>
  <c r="E152" i="2"/>
  <c r="D152" i="2"/>
  <c r="C152" i="2"/>
  <c r="DH151" i="2"/>
  <c r="DF151" i="2"/>
  <c r="CD151" i="2"/>
  <c r="CB151" i="2"/>
  <c r="E151" i="2"/>
  <c r="C151" i="2" s="1"/>
  <c r="D151" i="2"/>
  <c r="DH150" i="2"/>
  <c r="DF150" i="2"/>
  <c r="CD150" i="2"/>
  <c r="CB150" i="2"/>
  <c r="E150" i="2"/>
  <c r="C150" i="2" s="1"/>
  <c r="D150" i="2"/>
  <c r="DH149" i="2"/>
  <c r="DF149" i="2"/>
  <c r="CD149" i="2"/>
  <c r="CB149" i="2"/>
  <c r="E149" i="2"/>
  <c r="D149" i="2"/>
  <c r="DH148" i="2"/>
  <c r="DG148" i="2"/>
  <c r="DF148" i="2"/>
  <c r="CD148" i="2"/>
  <c r="CB148" i="2"/>
  <c r="E148" i="2"/>
  <c r="D148" i="2"/>
  <c r="C148" i="2"/>
  <c r="DH147" i="2"/>
  <c r="DF147" i="2"/>
  <c r="CD147" i="2"/>
  <c r="CB147" i="2"/>
  <c r="E147" i="2"/>
  <c r="C147" i="2" s="1"/>
  <c r="D147" i="2"/>
  <c r="DH146" i="2"/>
  <c r="DF146" i="2"/>
  <c r="CD146" i="2"/>
  <c r="CB146" i="2"/>
  <c r="E146" i="2"/>
  <c r="C146" i="2" s="1"/>
  <c r="D146" i="2"/>
  <c r="DH145" i="2"/>
  <c r="DF145" i="2"/>
  <c r="CD145" i="2"/>
  <c r="CB145" i="2"/>
  <c r="E145" i="2"/>
  <c r="D145" i="2"/>
  <c r="J140" i="2"/>
  <c r="I140" i="2"/>
  <c r="H140" i="2"/>
  <c r="G140" i="2"/>
  <c r="F140" i="2"/>
  <c r="E140" i="2"/>
  <c r="C140" i="2" s="1"/>
  <c r="D140" i="2"/>
  <c r="DK139" i="2"/>
  <c r="DJ139" i="2"/>
  <c r="DI139" i="2"/>
  <c r="DH139" i="2"/>
  <c r="DG139" i="2"/>
  <c r="DF139" i="2"/>
  <c r="CK139" i="2"/>
  <c r="CJ139" i="2"/>
  <c r="CI139" i="2"/>
  <c r="CH139" i="2"/>
  <c r="J139" i="2" s="1"/>
  <c r="CG139" i="2"/>
  <c r="CF139" i="2"/>
  <c r="C139" i="2"/>
  <c r="DK138" i="2"/>
  <c r="DJ138" i="2"/>
  <c r="DI138" i="2"/>
  <c r="DH138" i="2"/>
  <c r="DG138" i="2"/>
  <c r="DF138" i="2"/>
  <c r="CK138" i="2"/>
  <c r="CJ138" i="2"/>
  <c r="CI138" i="2"/>
  <c r="CH138" i="2"/>
  <c r="CG138" i="2"/>
  <c r="CF138" i="2"/>
  <c r="J138" i="2" s="1"/>
  <c r="C138" i="2"/>
  <c r="L134" i="2"/>
  <c r="K134" i="2"/>
  <c r="J134" i="2"/>
  <c r="D134" i="2" s="1"/>
  <c r="C134" i="2" s="1"/>
  <c r="I134" i="2"/>
  <c r="H134" i="2"/>
  <c r="G134" i="2"/>
  <c r="E134" i="2" s="1"/>
  <c r="F134" i="2"/>
  <c r="DF133" i="2"/>
  <c r="DE133" i="2"/>
  <c r="DD133" i="2"/>
  <c r="CK133" i="2"/>
  <c r="CJ133" i="2"/>
  <c r="CI133" i="2"/>
  <c r="E133" i="2"/>
  <c r="C133" i="2" s="1"/>
  <c r="D133" i="2"/>
  <c r="DF132" i="2"/>
  <c r="DE132" i="2"/>
  <c r="DD132" i="2"/>
  <c r="CK132" i="2"/>
  <c r="M132" i="2" s="1"/>
  <c r="CJ132" i="2"/>
  <c r="CI132" i="2"/>
  <c r="E132" i="2"/>
  <c r="D132" i="2"/>
  <c r="C132" i="2"/>
  <c r="DF131" i="2"/>
  <c r="DE131" i="2"/>
  <c r="DD131" i="2"/>
  <c r="CK131" i="2"/>
  <c r="CJ131" i="2"/>
  <c r="CI131" i="2"/>
  <c r="M131" i="2" s="1"/>
  <c r="E131" i="2"/>
  <c r="D131" i="2"/>
  <c r="C131" i="2"/>
  <c r="DF130" i="2"/>
  <c r="DE130" i="2"/>
  <c r="DD130" i="2"/>
  <c r="CK130" i="2"/>
  <c r="CJ130" i="2"/>
  <c r="CI130" i="2"/>
  <c r="M130" i="2" s="1"/>
  <c r="E130" i="2"/>
  <c r="D130" i="2"/>
  <c r="C130" i="2"/>
  <c r="C125" i="2"/>
  <c r="N111" i="2"/>
  <c r="M111" i="2"/>
  <c r="L111" i="2"/>
  <c r="K111" i="2"/>
  <c r="J111" i="2"/>
  <c r="I111" i="2"/>
  <c r="H111" i="2"/>
  <c r="G111" i="2"/>
  <c r="F111" i="2"/>
  <c r="E111" i="2"/>
  <c r="D111" i="2"/>
  <c r="C111" i="2"/>
  <c r="DI110" i="2"/>
  <c r="DG110" i="2"/>
  <c r="DD110" i="2"/>
  <c r="CK110" i="2"/>
  <c r="CJ110" i="2"/>
  <c r="CI110" i="2"/>
  <c r="C110" i="2"/>
  <c r="DI109" i="2"/>
  <c r="CK109" i="2"/>
  <c r="CH109" i="2"/>
  <c r="C109" i="2"/>
  <c r="DI108" i="2"/>
  <c r="DG108" i="2"/>
  <c r="DF108" i="2"/>
  <c r="CK108" i="2"/>
  <c r="CJ108" i="2"/>
  <c r="CI108" i="2"/>
  <c r="CH108" i="2"/>
  <c r="O108" i="2" s="1"/>
  <c r="C108" i="2"/>
  <c r="DH108" i="2" s="1"/>
  <c r="DI104" i="2"/>
  <c r="DH104" i="2"/>
  <c r="DG104" i="2"/>
  <c r="C104" i="2"/>
  <c r="DI103" i="2"/>
  <c r="DH103" i="2"/>
  <c r="DG103" i="2"/>
  <c r="CI103" i="2"/>
  <c r="H103" i="2" s="1"/>
  <c r="CH103" i="2"/>
  <c r="C103" i="2"/>
  <c r="DF103" i="2" s="1"/>
  <c r="DI102" i="2"/>
  <c r="DH102" i="2"/>
  <c r="DG102" i="2"/>
  <c r="DF102" i="2"/>
  <c r="CI102" i="2"/>
  <c r="CH102" i="2"/>
  <c r="H102" i="2" s="1"/>
  <c r="C102" i="2"/>
  <c r="DI101" i="2"/>
  <c r="DG101" i="2"/>
  <c r="CI101" i="2"/>
  <c r="C101" i="2"/>
  <c r="DI100" i="2"/>
  <c r="DH100" i="2"/>
  <c r="DG100" i="2"/>
  <c r="CI100" i="2"/>
  <c r="H100" i="2" s="1"/>
  <c r="CH100" i="2"/>
  <c r="C100" i="2"/>
  <c r="DF100" i="2" s="1"/>
  <c r="DI99" i="2"/>
  <c r="DH99" i="2"/>
  <c r="DG99" i="2"/>
  <c r="DF99" i="2"/>
  <c r="CI99" i="2"/>
  <c r="CH99" i="2"/>
  <c r="H99" i="2" s="1"/>
  <c r="C99" i="2"/>
  <c r="DI98" i="2"/>
  <c r="DG98" i="2"/>
  <c r="CI98" i="2"/>
  <c r="C98" i="2"/>
  <c r="DI97" i="2"/>
  <c r="DH97" i="2"/>
  <c r="DG97" i="2"/>
  <c r="CI97" i="2"/>
  <c r="CH97" i="2"/>
  <c r="H97" i="2"/>
  <c r="C97" i="2"/>
  <c r="DF97" i="2" s="1"/>
  <c r="DI96" i="2"/>
  <c r="DH96" i="2"/>
  <c r="DG96" i="2"/>
  <c r="DF96" i="2"/>
  <c r="CI96" i="2"/>
  <c r="CH96" i="2"/>
  <c r="H96" i="2" s="1"/>
  <c r="C96" i="2"/>
  <c r="CI95" i="2"/>
  <c r="C95" i="2"/>
  <c r="DI95" i="2" s="1"/>
  <c r="DI94" i="2"/>
  <c r="DH94" i="2"/>
  <c r="DG94" i="2"/>
  <c r="CI94" i="2"/>
  <c r="H94" i="2" s="1"/>
  <c r="CH94" i="2"/>
  <c r="C94" i="2"/>
  <c r="DF94" i="2" s="1"/>
  <c r="DI93" i="2"/>
  <c r="DH93" i="2"/>
  <c r="DG93" i="2"/>
  <c r="DF93" i="2"/>
  <c r="CI93" i="2"/>
  <c r="CH93" i="2"/>
  <c r="H93" i="2" s="1"/>
  <c r="C93" i="2"/>
  <c r="DI92" i="2"/>
  <c r="DH92" i="2"/>
  <c r="DG92" i="2"/>
  <c r="C92" i="2"/>
  <c r="DI91" i="2"/>
  <c r="DH91" i="2"/>
  <c r="DG91" i="2"/>
  <c r="CI91" i="2"/>
  <c r="H91" i="2" s="1"/>
  <c r="CH91" i="2"/>
  <c r="C91" i="2"/>
  <c r="DF91" i="2" s="1"/>
  <c r="DI90" i="2"/>
  <c r="DH90" i="2"/>
  <c r="DG90" i="2"/>
  <c r="DF90" i="2"/>
  <c r="CI90" i="2"/>
  <c r="CH90" i="2"/>
  <c r="H90" i="2" s="1"/>
  <c r="C90" i="2"/>
  <c r="DI89" i="2"/>
  <c r="DH89" i="2"/>
  <c r="DG89" i="2"/>
  <c r="CI89" i="2"/>
  <c r="C89" i="2"/>
  <c r="DI88" i="2"/>
  <c r="DH88" i="2"/>
  <c r="DG88" i="2"/>
  <c r="CI88" i="2"/>
  <c r="H88" i="2" s="1"/>
  <c r="CH88" i="2"/>
  <c r="C88" i="2"/>
  <c r="DF88" i="2" s="1"/>
  <c r="DI87" i="2"/>
  <c r="DH87" i="2"/>
  <c r="DG87" i="2"/>
  <c r="DF87" i="2"/>
  <c r="CI87" i="2"/>
  <c r="CH87" i="2"/>
  <c r="H87" i="2" s="1"/>
  <c r="C87" i="2"/>
  <c r="DI86" i="2"/>
  <c r="CI86" i="2"/>
  <c r="C86" i="2"/>
  <c r="DI85" i="2"/>
  <c r="DH85" i="2"/>
  <c r="DG85" i="2"/>
  <c r="CI85" i="2"/>
  <c r="CH85" i="2"/>
  <c r="H85" i="2"/>
  <c r="C85" i="2"/>
  <c r="DF85" i="2" s="1"/>
  <c r="DI84" i="2"/>
  <c r="DH84" i="2"/>
  <c r="DG84" i="2"/>
  <c r="DF84" i="2"/>
  <c r="CI84" i="2"/>
  <c r="CH84" i="2"/>
  <c r="H84" i="2" s="1"/>
  <c r="C84" i="2"/>
  <c r="DI83" i="2"/>
  <c r="DH83" i="2"/>
  <c r="DG83" i="2"/>
  <c r="DE83" i="2"/>
  <c r="DD83" i="2"/>
  <c r="CI83" i="2"/>
  <c r="CH83" i="2"/>
  <c r="H83" i="2" s="1"/>
  <c r="CG83" i="2"/>
  <c r="CF83" i="2"/>
  <c r="C83" i="2"/>
  <c r="DF83" i="2" s="1"/>
  <c r="DI82" i="2"/>
  <c r="DH82" i="2"/>
  <c r="DG82" i="2"/>
  <c r="DE82" i="2"/>
  <c r="DD82" i="2"/>
  <c r="CI82" i="2"/>
  <c r="CH82" i="2"/>
  <c r="CG82" i="2"/>
  <c r="CF82" i="2"/>
  <c r="H82" i="2" s="1"/>
  <c r="C82" i="2"/>
  <c r="DF82" i="2" s="1"/>
  <c r="DI81" i="2"/>
  <c r="DH81" i="2"/>
  <c r="DG81" i="2"/>
  <c r="DE81" i="2"/>
  <c r="DD81" i="2"/>
  <c r="CI81" i="2"/>
  <c r="CH81" i="2"/>
  <c r="CG81" i="2"/>
  <c r="CF81" i="2"/>
  <c r="H81" i="2" s="1"/>
  <c r="C81" i="2"/>
  <c r="DF81" i="2" s="1"/>
  <c r="DI80" i="2"/>
  <c r="DH80" i="2"/>
  <c r="DG80" i="2"/>
  <c r="DE80" i="2"/>
  <c r="DD80" i="2"/>
  <c r="CI80" i="2"/>
  <c r="CH80" i="2"/>
  <c r="H80" i="2" s="1"/>
  <c r="CG80" i="2"/>
  <c r="CF80" i="2"/>
  <c r="C80" i="2"/>
  <c r="DF80" i="2" s="1"/>
  <c r="DI79" i="2"/>
  <c r="DH79" i="2"/>
  <c r="DG79" i="2"/>
  <c r="DE79" i="2"/>
  <c r="DD79" i="2"/>
  <c r="CI79" i="2"/>
  <c r="CH79" i="2"/>
  <c r="CG79" i="2"/>
  <c r="H79" i="2" s="1"/>
  <c r="CF79" i="2"/>
  <c r="C79" i="2"/>
  <c r="DF79" i="2" s="1"/>
  <c r="DI78" i="2"/>
  <c r="DH78" i="2"/>
  <c r="DG78" i="2"/>
  <c r="DE78" i="2"/>
  <c r="DD78" i="2"/>
  <c r="CI78" i="2"/>
  <c r="CH78" i="2"/>
  <c r="CG78" i="2"/>
  <c r="CF78" i="2"/>
  <c r="H78" i="2" s="1"/>
  <c r="C78" i="2"/>
  <c r="DF78" i="2" s="1"/>
  <c r="DI77" i="2"/>
  <c r="DH77" i="2"/>
  <c r="DG77" i="2"/>
  <c r="DF77" i="2"/>
  <c r="DE77" i="2"/>
  <c r="DD77" i="2"/>
  <c r="CI77" i="2"/>
  <c r="CH77" i="2"/>
  <c r="CG77" i="2"/>
  <c r="CF77" i="2"/>
  <c r="C77" i="2"/>
  <c r="DL73" i="2"/>
  <c r="DK73" i="2"/>
  <c r="DJ73" i="2"/>
  <c r="CJ73" i="2"/>
  <c r="CI73" i="2"/>
  <c r="CH73" i="2"/>
  <c r="E73" i="2"/>
  <c r="D73" i="2"/>
  <c r="DI73" i="2" s="1"/>
  <c r="C73" i="2"/>
  <c r="S72" i="2"/>
  <c r="R72" i="2"/>
  <c r="CL44" i="2" s="1"/>
  <c r="Q72" i="2"/>
  <c r="P72" i="2"/>
  <c r="CK44" i="2" s="1"/>
  <c r="O72" i="2"/>
  <c r="N72" i="2"/>
  <c r="M72" i="2"/>
  <c r="L72" i="2"/>
  <c r="K72" i="2"/>
  <c r="J72" i="2"/>
  <c r="I72" i="2"/>
  <c r="H72" i="2"/>
  <c r="CC44" i="2" s="1"/>
  <c r="G72" i="2"/>
  <c r="F72" i="2"/>
  <c r="DK71" i="2"/>
  <c r="DI71" i="2"/>
  <c r="E71" i="2"/>
  <c r="C71" i="2" s="1"/>
  <c r="D71" i="2"/>
  <c r="CG71" i="2" s="1"/>
  <c r="S70" i="2"/>
  <c r="R70" i="2"/>
  <c r="Q70" i="2"/>
  <c r="P70" i="2"/>
  <c r="O70" i="2"/>
  <c r="N70" i="2"/>
  <c r="M70" i="2"/>
  <c r="L70" i="2"/>
  <c r="K70" i="2"/>
  <c r="J70" i="2"/>
  <c r="D70" i="2" s="1"/>
  <c r="C70" i="2" s="1"/>
  <c r="I70" i="2"/>
  <c r="H70" i="2"/>
  <c r="G70" i="2"/>
  <c r="F70" i="2"/>
  <c r="E70" i="2"/>
  <c r="CI69" i="2"/>
  <c r="E69" i="2"/>
  <c r="CH69" i="2" s="1"/>
  <c r="D69" i="2"/>
  <c r="C69" i="2" s="1"/>
  <c r="DK68" i="2"/>
  <c r="DI68" i="2"/>
  <c r="E68" i="2"/>
  <c r="CJ68" i="2" s="1"/>
  <c r="D68" i="2"/>
  <c r="CI68" i="2" s="1"/>
  <c r="DL67" i="2"/>
  <c r="DJ67" i="2"/>
  <c r="CJ67" i="2"/>
  <c r="E67" i="2"/>
  <c r="CH67" i="2" s="1"/>
  <c r="D67" i="2"/>
  <c r="C67" i="2" s="1"/>
  <c r="DL66" i="2"/>
  <c r="DK66" i="2"/>
  <c r="DJ66" i="2"/>
  <c r="DI66" i="2"/>
  <c r="CJ66" i="2"/>
  <c r="CI66" i="2"/>
  <c r="CH66" i="2"/>
  <c r="E66" i="2"/>
  <c r="D66" i="2"/>
  <c r="CG66" i="2" s="1"/>
  <c r="C66" i="2"/>
  <c r="DL65" i="2"/>
  <c r="DK65" i="2"/>
  <c r="DJ65" i="2"/>
  <c r="DI65" i="2"/>
  <c r="CJ65" i="2"/>
  <c r="CI65" i="2"/>
  <c r="CH65" i="2"/>
  <c r="CG65" i="2"/>
  <c r="E65" i="2"/>
  <c r="D65" i="2"/>
  <c r="C65" i="2"/>
  <c r="DL64" i="2"/>
  <c r="DK64" i="2"/>
  <c r="DJ64" i="2"/>
  <c r="DI64" i="2"/>
  <c r="CJ64" i="2"/>
  <c r="CI64" i="2"/>
  <c r="CH64" i="2"/>
  <c r="CG64" i="2"/>
  <c r="E64" i="2"/>
  <c r="C64" i="2" s="1"/>
  <c r="D64" i="2"/>
  <c r="S63" i="2"/>
  <c r="R63" i="2"/>
  <c r="Q63" i="2"/>
  <c r="P63" i="2"/>
  <c r="O63" i="2"/>
  <c r="N63" i="2"/>
  <c r="M63" i="2"/>
  <c r="L63" i="2"/>
  <c r="K63" i="2"/>
  <c r="E63" i="2" s="1"/>
  <c r="J63" i="2"/>
  <c r="I63" i="2"/>
  <c r="H63" i="2"/>
  <c r="G63" i="2"/>
  <c r="F63" i="2"/>
  <c r="D63" i="2" s="1"/>
  <c r="C63" i="2" s="1"/>
  <c r="DK62" i="2"/>
  <c r="DI62" i="2"/>
  <c r="E62" i="2"/>
  <c r="C62" i="2" s="1"/>
  <c r="D62" i="2"/>
  <c r="CI62" i="2" s="1"/>
  <c r="DL61" i="2"/>
  <c r="DJ61" i="2"/>
  <c r="CJ61" i="2"/>
  <c r="E61" i="2"/>
  <c r="CH61" i="2" s="1"/>
  <c r="D61" i="2"/>
  <c r="C61" i="2" s="1"/>
  <c r="DL60" i="2"/>
  <c r="DK60" i="2"/>
  <c r="DJ60" i="2"/>
  <c r="DI60" i="2"/>
  <c r="CJ60" i="2"/>
  <c r="CI60" i="2"/>
  <c r="CH60" i="2"/>
  <c r="E60" i="2"/>
  <c r="D60" i="2"/>
  <c r="CG60" i="2" s="1"/>
  <c r="C60" i="2"/>
  <c r="DL59" i="2"/>
  <c r="DK59" i="2"/>
  <c r="DJ59" i="2"/>
  <c r="DI59" i="2"/>
  <c r="CJ59" i="2"/>
  <c r="CI59" i="2"/>
  <c r="CH59" i="2"/>
  <c r="CG59" i="2"/>
  <c r="E59" i="2"/>
  <c r="D59" i="2"/>
  <c r="C59" i="2"/>
  <c r="S58" i="2"/>
  <c r="R58" i="2"/>
  <c r="Q58" i="2"/>
  <c r="P58" i="2"/>
  <c r="O58" i="2"/>
  <c r="N58" i="2"/>
  <c r="M58" i="2"/>
  <c r="L58" i="2"/>
  <c r="K58" i="2"/>
  <c r="J58" i="2"/>
  <c r="I58" i="2"/>
  <c r="H58" i="2"/>
  <c r="G58" i="2"/>
  <c r="E58" i="2" s="1"/>
  <c r="F58" i="2"/>
  <c r="D58" i="2"/>
  <c r="C58" i="2" s="1"/>
  <c r="DL57" i="2"/>
  <c r="DK57" i="2"/>
  <c r="DJ57" i="2"/>
  <c r="CG57" i="2"/>
  <c r="E57" i="2"/>
  <c r="CJ57" i="2" s="1"/>
  <c r="D57" i="2"/>
  <c r="DI57" i="2" s="1"/>
  <c r="C57" i="2"/>
  <c r="DK56" i="2"/>
  <c r="DI56" i="2"/>
  <c r="E56" i="2"/>
  <c r="C56" i="2" s="1"/>
  <c r="D56" i="2"/>
  <c r="CI56" i="2" s="1"/>
  <c r="S55" i="2"/>
  <c r="R55" i="2"/>
  <c r="Q55" i="2"/>
  <c r="P55" i="2"/>
  <c r="O55" i="2"/>
  <c r="N55" i="2"/>
  <c r="M55" i="2"/>
  <c r="L55" i="2"/>
  <c r="K55" i="2"/>
  <c r="J55" i="2"/>
  <c r="D55" i="2" s="1"/>
  <c r="I55" i="2"/>
  <c r="H55" i="2"/>
  <c r="G55" i="2"/>
  <c r="E55" i="2" s="1"/>
  <c r="F55" i="2"/>
  <c r="CJ54" i="2"/>
  <c r="CG54" i="2"/>
  <c r="E54" i="2"/>
  <c r="CH54" i="2" s="1"/>
  <c r="D54" i="2"/>
  <c r="CI54" i="2" s="1"/>
  <c r="C54" i="2"/>
  <c r="CI53" i="2"/>
  <c r="E53" i="2"/>
  <c r="CH53" i="2" s="1"/>
  <c r="D53" i="2"/>
  <c r="CG53" i="2" s="1"/>
  <c r="DL52" i="2"/>
  <c r="CH52" i="2"/>
  <c r="E52" i="2"/>
  <c r="DJ52" i="2" s="1"/>
  <c r="D52" i="2"/>
  <c r="CG52" i="2" s="1"/>
  <c r="S51" i="2"/>
  <c r="R51" i="2"/>
  <c r="Q51" i="2"/>
  <c r="P51" i="2"/>
  <c r="O51" i="2"/>
  <c r="N51" i="2"/>
  <c r="M51" i="2"/>
  <c r="L51" i="2"/>
  <c r="K51" i="2"/>
  <c r="J51" i="2"/>
  <c r="I51" i="2"/>
  <c r="H51" i="2"/>
  <c r="G51" i="2"/>
  <c r="E51" i="2" s="1"/>
  <c r="F51" i="2"/>
  <c r="D51" i="2" s="1"/>
  <c r="C51" i="2" s="1"/>
  <c r="DJ50" i="2"/>
  <c r="CI50" i="2"/>
  <c r="CG50" i="2"/>
  <c r="E50" i="2"/>
  <c r="CJ50" i="2" s="1"/>
  <c r="D50" i="2"/>
  <c r="DI50" i="2" s="1"/>
  <c r="DI49" i="2"/>
  <c r="CH49" i="2"/>
  <c r="E49" i="2"/>
  <c r="CJ49" i="2" s="1"/>
  <c r="D49" i="2"/>
  <c r="CI49" i="2" s="1"/>
  <c r="S48" i="2"/>
  <c r="R48" i="2"/>
  <c r="Q48" i="2"/>
  <c r="P48" i="2"/>
  <c r="O48" i="2"/>
  <c r="N48" i="2"/>
  <c r="M48" i="2"/>
  <c r="L48" i="2"/>
  <c r="K48" i="2"/>
  <c r="J48" i="2"/>
  <c r="I48" i="2"/>
  <c r="H48" i="2"/>
  <c r="D48" i="2" s="1"/>
  <c r="G48" i="2"/>
  <c r="E48" i="2" s="1"/>
  <c r="F48" i="2"/>
  <c r="DL47" i="2"/>
  <c r="DK47" i="2"/>
  <c r="DJ47" i="2"/>
  <c r="DI47" i="2"/>
  <c r="CJ47" i="2"/>
  <c r="CI47" i="2"/>
  <c r="CH47" i="2"/>
  <c r="CG47" i="2"/>
  <c r="E47" i="2"/>
  <c r="D47" i="2"/>
  <c r="C47" i="2"/>
  <c r="DL46" i="2"/>
  <c r="DK46" i="2"/>
  <c r="DJ46" i="2"/>
  <c r="DI46" i="2"/>
  <c r="CJ46" i="2"/>
  <c r="CI46" i="2"/>
  <c r="CH46" i="2"/>
  <c r="CG46" i="2"/>
  <c r="E46" i="2"/>
  <c r="D46" i="2"/>
  <c r="C46" i="2" s="1"/>
  <c r="DK45" i="2"/>
  <c r="DI45" i="2"/>
  <c r="CJ45" i="2"/>
  <c r="CI45" i="2"/>
  <c r="CG45" i="2"/>
  <c r="E45" i="2"/>
  <c r="DJ45" i="2" s="1"/>
  <c r="D45" i="2"/>
  <c r="C45" i="2" s="1"/>
  <c r="DL44" i="2"/>
  <c r="DK44" i="2"/>
  <c r="DJ44" i="2"/>
  <c r="DI44" i="2"/>
  <c r="DH44" i="2"/>
  <c r="DG44" i="2"/>
  <c r="DF44" i="2"/>
  <c r="DD44" i="2"/>
  <c r="CI44" i="2"/>
  <c r="CG44" i="2"/>
  <c r="CF44" i="2"/>
  <c r="CE44" i="2"/>
  <c r="CD44" i="2"/>
  <c r="CB44" i="2"/>
  <c r="E44" i="2"/>
  <c r="CH44" i="2" s="1"/>
  <c r="D44" i="2"/>
  <c r="DS39" i="2"/>
  <c r="DQ39" i="2"/>
  <c r="CX39" i="2"/>
  <c r="CW39" i="2"/>
  <c r="CV39" i="2"/>
  <c r="CU39" i="2"/>
  <c r="AL39" i="2" s="1"/>
  <c r="E39" i="2"/>
  <c r="DR39" i="2" s="1"/>
  <c r="D39" i="2"/>
  <c r="C39" i="2" s="1"/>
  <c r="AL38" i="2"/>
  <c r="AK38" i="2"/>
  <c r="CZ11" i="2" s="1"/>
  <c r="AJ38" i="2"/>
  <c r="AI38" i="2"/>
  <c r="AH38" i="2"/>
  <c r="AG38" i="2"/>
  <c r="AF38" i="2"/>
  <c r="AE38" i="2"/>
  <c r="AD38" i="2"/>
  <c r="AC38" i="2"/>
  <c r="AB38" i="2"/>
  <c r="AA38" i="2"/>
  <c r="Z38" i="2"/>
  <c r="Y38" i="2"/>
  <c r="DL11" i="2" s="1"/>
  <c r="X38" i="2"/>
  <c r="W38" i="2"/>
  <c r="V38" i="2"/>
  <c r="U38" i="2"/>
  <c r="T38" i="2"/>
  <c r="S38" i="2"/>
  <c r="R38" i="2"/>
  <c r="Q38" i="2"/>
  <c r="P38" i="2"/>
  <c r="O38" i="2"/>
  <c r="N38" i="2"/>
  <c r="M38" i="2"/>
  <c r="E38" i="2" s="1"/>
  <c r="L38" i="2"/>
  <c r="K38" i="2"/>
  <c r="J38" i="2"/>
  <c r="I38" i="2"/>
  <c r="H38" i="2"/>
  <c r="D38" i="2" s="1"/>
  <c r="C38" i="2" s="1"/>
  <c r="DQ37" i="2"/>
  <c r="CV37" i="2"/>
  <c r="E37" i="2"/>
  <c r="CX37" i="2" s="1"/>
  <c r="D37" i="2"/>
  <c r="CW37" i="2" s="1"/>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E36" i="2" s="1"/>
  <c r="J36" i="2"/>
  <c r="I36" i="2"/>
  <c r="H36" i="2"/>
  <c r="D36" i="2" s="1"/>
  <c r="C36" i="2" s="1"/>
  <c r="CW35" i="2"/>
  <c r="E35" i="2"/>
  <c r="CV35" i="2" s="1"/>
  <c r="D35" i="2"/>
  <c r="CU35" i="2" s="1"/>
  <c r="C35" i="2"/>
  <c r="CW34" i="2"/>
  <c r="E34" i="2"/>
  <c r="CV34" i="2" s="1"/>
  <c r="D34" i="2"/>
  <c r="CU34" i="2" s="1"/>
  <c r="C34" i="2"/>
  <c r="CW33" i="2"/>
  <c r="E33" i="2"/>
  <c r="CV33" i="2" s="1"/>
  <c r="D33" i="2"/>
  <c r="CU33" i="2" s="1"/>
  <c r="C33" i="2"/>
  <c r="CW32" i="2"/>
  <c r="E32" i="2"/>
  <c r="CV32" i="2" s="1"/>
  <c r="D32" i="2"/>
  <c r="CU32" i="2" s="1"/>
  <c r="C32" i="2"/>
  <c r="CW31" i="2"/>
  <c r="E31" i="2"/>
  <c r="CV31" i="2" s="1"/>
  <c r="D31" i="2"/>
  <c r="CU31" i="2" s="1"/>
  <c r="C31" i="2"/>
  <c r="CW30" i="2"/>
  <c r="E30" i="2"/>
  <c r="CV30" i="2" s="1"/>
  <c r="D30" i="2"/>
  <c r="CU30" i="2" s="1"/>
  <c r="C30"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E29" i="2" s="1"/>
  <c r="H29" i="2"/>
  <c r="G29" i="2"/>
  <c r="F29" i="2"/>
  <c r="D29" i="2" s="1"/>
  <c r="C29" i="2" s="1"/>
  <c r="CW28" i="2"/>
  <c r="E28" i="2"/>
  <c r="CV28" i="2" s="1"/>
  <c r="D28" i="2"/>
  <c r="CU28" i="2" s="1"/>
  <c r="C28" i="2"/>
  <c r="CW27" i="2"/>
  <c r="E27" i="2"/>
  <c r="CV27" i="2" s="1"/>
  <c r="D27" i="2"/>
  <c r="CU27" i="2" s="1"/>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E26" i="2" s="1"/>
  <c r="H26" i="2"/>
  <c r="G26" i="2"/>
  <c r="F26" i="2"/>
  <c r="D26" i="2" s="1"/>
  <c r="C26" i="2" s="1"/>
  <c r="CW25" i="2"/>
  <c r="E25" i="2"/>
  <c r="CV25" i="2" s="1"/>
  <c r="D25" i="2"/>
  <c r="CU25" i="2" s="1"/>
  <c r="CW24" i="2"/>
  <c r="E24" i="2"/>
  <c r="CV24" i="2" s="1"/>
  <c r="D24" i="2"/>
  <c r="CU24" i="2" s="1"/>
  <c r="AL23" i="2"/>
  <c r="AK23" i="2"/>
  <c r="AJ23" i="2"/>
  <c r="AI23" i="2"/>
  <c r="AH23" i="2"/>
  <c r="AG23" i="2"/>
  <c r="AF23" i="2"/>
  <c r="AE23" i="2"/>
  <c r="AD23" i="2"/>
  <c r="AC23" i="2"/>
  <c r="AB23" i="2"/>
  <c r="AA23" i="2"/>
  <c r="Z23" i="2"/>
  <c r="Y23" i="2"/>
  <c r="X23" i="2"/>
  <c r="W23" i="2"/>
  <c r="V23" i="2"/>
  <c r="U23" i="2"/>
  <c r="T23" i="2"/>
  <c r="S23" i="2"/>
  <c r="R23" i="2"/>
  <c r="Q23" i="2"/>
  <c r="E23" i="2" s="1"/>
  <c r="P23" i="2"/>
  <c r="O23" i="2"/>
  <c r="N23" i="2"/>
  <c r="M23" i="2"/>
  <c r="L23" i="2"/>
  <c r="K23" i="2"/>
  <c r="J23" i="2"/>
  <c r="I23" i="2"/>
  <c r="H23" i="2"/>
  <c r="G23" i="2"/>
  <c r="F23" i="2"/>
  <c r="D23" i="2" s="1"/>
  <c r="C23" i="2" s="1"/>
  <c r="CW22" i="2"/>
  <c r="E22" i="2"/>
  <c r="CV22" i="2" s="1"/>
  <c r="D22" i="2"/>
  <c r="CU22" i="2" s="1"/>
  <c r="CW21" i="2"/>
  <c r="E21" i="2"/>
  <c r="CV21" i="2" s="1"/>
  <c r="D21" i="2"/>
  <c r="CU21" i="2" s="1"/>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D20" i="2" s="1"/>
  <c r="C20" i="2" s="1"/>
  <c r="E20" i="2"/>
  <c r="CW19" i="2"/>
  <c r="E19" i="2"/>
  <c r="CV19" i="2" s="1"/>
  <c r="D19" i="2"/>
  <c r="CU19" i="2" s="1"/>
  <c r="CW18" i="2"/>
  <c r="E18" i="2"/>
  <c r="CV18" i="2" s="1"/>
  <c r="D18" i="2"/>
  <c r="CU18" i="2" s="1"/>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D17" i="2" s="1"/>
  <c r="C17" i="2" s="1"/>
  <c r="E17" i="2"/>
  <c r="CW16" i="2"/>
  <c r="E16" i="2"/>
  <c r="CV16" i="2" s="1"/>
  <c r="D16" i="2"/>
  <c r="CU16" i="2" s="1"/>
  <c r="CW15" i="2"/>
  <c r="E15" i="2"/>
  <c r="CV15" i="2" s="1"/>
  <c r="D15" i="2"/>
  <c r="CU15" i="2" s="1"/>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D14" i="2" s="1"/>
  <c r="C14" i="2" s="1"/>
  <c r="E14" i="2"/>
  <c r="CW13" i="2"/>
  <c r="E13" i="2"/>
  <c r="CV13" i="2" s="1"/>
  <c r="D13" i="2"/>
  <c r="CU13" i="2" s="1"/>
  <c r="CW12" i="2"/>
  <c r="E12" i="2"/>
  <c r="CV12" i="2" s="1"/>
  <c r="D12" i="2"/>
  <c r="CU12" i="2" s="1"/>
  <c r="DU11" i="2"/>
  <c r="DP11" i="2"/>
  <c r="DO11" i="2"/>
  <c r="DN11" i="2"/>
  <c r="DM11" i="2"/>
  <c r="DK11" i="2"/>
  <c r="DJ11" i="2"/>
  <c r="DI11" i="2"/>
  <c r="DH11" i="2"/>
  <c r="DG11" i="2"/>
  <c r="DE11" i="2"/>
  <c r="DD11" i="2"/>
  <c r="CY11" i="2"/>
  <c r="CX11" i="2"/>
  <c r="CV11" i="2"/>
  <c r="CS11" i="2"/>
  <c r="CP11" i="2"/>
  <c r="CO11" i="2"/>
  <c r="CN11" i="2"/>
  <c r="CM11" i="2"/>
  <c r="CL11" i="2"/>
  <c r="CK11" i="2"/>
  <c r="CJ11" i="2"/>
  <c r="CI11" i="2"/>
  <c r="CH11" i="2"/>
  <c r="CG11" i="2"/>
  <c r="CE11" i="2"/>
  <c r="CD11" i="2"/>
  <c r="E11" i="2"/>
  <c r="DT11" i="2" s="1"/>
  <c r="D11" i="2"/>
  <c r="CW11" i="2" s="1"/>
  <c r="C11" i="2"/>
  <c r="H77" i="2" l="1"/>
  <c r="AV175" i="2"/>
  <c r="AL22" i="2"/>
  <c r="AL24" i="2"/>
  <c r="AV159" i="2"/>
  <c r="C55" i="2"/>
  <c r="C48" i="2"/>
  <c r="AV177" i="2"/>
  <c r="AL27" i="2"/>
  <c r="C205" i="2"/>
  <c r="DI205" i="2"/>
  <c r="DG205" i="2"/>
  <c r="DD205" i="2"/>
  <c r="DB205" i="2"/>
  <c r="DI194" i="2"/>
  <c r="DG194" i="2"/>
  <c r="AL25" i="2"/>
  <c r="AL28" i="2"/>
  <c r="AV181" i="2"/>
  <c r="CE145" i="2"/>
  <c r="CC145" i="2"/>
  <c r="DI145" i="2"/>
  <c r="CE149" i="2"/>
  <c r="CC149" i="2"/>
  <c r="AV149" i="2" s="1"/>
  <c r="DI149" i="2"/>
  <c r="CE153" i="2"/>
  <c r="CC153" i="2"/>
  <c r="DI153" i="2"/>
  <c r="CE157" i="2"/>
  <c r="CC157" i="2"/>
  <c r="AV157" i="2" s="1"/>
  <c r="DI157" i="2"/>
  <c r="CE161" i="2"/>
  <c r="CC161" i="2"/>
  <c r="DI161" i="2"/>
  <c r="CE165" i="2"/>
  <c r="CC165" i="2"/>
  <c r="AV165" i="2" s="1"/>
  <c r="DI165" i="2"/>
  <c r="CE169" i="2"/>
  <c r="CC169" i="2"/>
  <c r="DI169" i="2"/>
  <c r="CE173" i="2"/>
  <c r="CC173" i="2"/>
  <c r="AV173" i="2" s="1"/>
  <c r="DI173" i="2"/>
  <c r="CE177" i="2"/>
  <c r="CC177" i="2"/>
  <c r="DI177" i="2"/>
  <c r="CE181" i="2"/>
  <c r="CC181" i="2"/>
  <c r="DI181" i="2"/>
  <c r="CE185" i="2"/>
  <c r="CC185" i="2"/>
  <c r="AV185" i="2" s="1"/>
  <c r="DI185" i="2"/>
  <c r="CE189" i="2"/>
  <c r="CC189" i="2"/>
  <c r="AV189" i="2" s="1"/>
  <c r="DI189" i="2"/>
  <c r="DB202" i="2"/>
  <c r="C202" i="2"/>
  <c r="CH202" i="2"/>
  <c r="DI202" i="2"/>
  <c r="CD202" i="2"/>
  <c r="DG202" i="2"/>
  <c r="CB202" i="2"/>
  <c r="DH208" i="2"/>
  <c r="CC208" i="2"/>
  <c r="DF208" i="2"/>
  <c r="CI208" i="2"/>
  <c r="CG208" i="2"/>
  <c r="DQ11" i="2"/>
  <c r="CQ11" i="2"/>
  <c r="DF11" i="2"/>
  <c r="DR11" i="2"/>
  <c r="CX12" i="2"/>
  <c r="AL12" i="2" s="1"/>
  <c r="CX13" i="2"/>
  <c r="AL13" i="2" s="1"/>
  <c r="CX15" i="2"/>
  <c r="AL15" i="2" s="1"/>
  <c r="CX16" i="2"/>
  <c r="AL16" i="2" s="1"/>
  <c r="CX18" i="2"/>
  <c r="AL18" i="2" s="1"/>
  <c r="CX19" i="2"/>
  <c r="AL19" i="2" s="1"/>
  <c r="CX21" i="2"/>
  <c r="AL21" i="2" s="1"/>
  <c r="CX22" i="2"/>
  <c r="CX24" i="2"/>
  <c r="CX25" i="2"/>
  <c r="CX27" i="2"/>
  <c r="CX28" i="2"/>
  <c r="CX30" i="2"/>
  <c r="AL30" i="2" s="1"/>
  <c r="CX31" i="2"/>
  <c r="AL31" i="2" s="1"/>
  <c r="CX32" i="2"/>
  <c r="AL32" i="2" s="1"/>
  <c r="CX33" i="2"/>
  <c r="AL33" i="2" s="1"/>
  <c r="CX34" i="2"/>
  <c r="AL34" i="2" s="1"/>
  <c r="CX35" i="2"/>
  <c r="AL35" i="2" s="1"/>
  <c r="DR37" i="2"/>
  <c r="DT39" i="2"/>
  <c r="CJ44" i="2"/>
  <c r="DM44" i="2"/>
  <c r="DL45" i="2"/>
  <c r="DJ49" i="2"/>
  <c r="DK50" i="2"/>
  <c r="CI52" i="2"/>
  <c r="CJ53" i="2"/>
  <c r="DI54" i="2"/>
  <c r="CG56" i="2"/>
  <c r="CH57" i="2"/>
  <c r="CG62" i="2"/>
  <c r="CG68" i="2"/>
  <c r="CJ69" i="2"/>
  <c r="CH71" i="2"/>
  <c r="DF92" i="2"/>
  <c r="CH92" i="2"/>
  <c r="DG95" i="2"/>
  <c r="DF104" i="2"/>
  <c r="CH104" i="2"/>
  <c r="DH110" i="2"/>
  <c r="DF110" i="2"/>
  <c r="CF110" i="2"/>
  <c r="DG195" i="2"/>
  <c r="DC205" i="2"/>
  <c r="CB208" i="2"/>
  <c r="CF11" i="2"/>
  <c r="CR11" i="2"/>
  <c r="DS11" i="2"/>
  <c r="DQ12" i="2"/>
  <c r="DQ13" i="2"/>
  <c r="DQ15" i="2"/>
  <c r="DQ16" i="2"/>
  <c r="DQ18" i="2"/>
  <c r="DQ19" i="2"/>
  <c r="DQ21" i="2"/>
  <c r="DQ22" i="2"/>
  <c r="DQ24" i="2"/>
  <c r="DQ25" i="2"/>
  <c r="DQ27" i="2"/>
  <c r="DQ28" i="2"/>
  <c r="DQ30" i="2"/>
  <c r="DQ31" i="2"/>
  <c r="DQ32" i="2"/>
  <c r="DQ33" i="2"/>
  <c r="DQ34" i="2"/>
  <c r="DQ35" i="2"/>
  <c r="DS37" i="2"/>
  <c r="C44" i="2"/>
  <c r="DN44" i="2"/>
  <c r="DK49" i="2"/>
  <c r="DL50" i="2"/>
  <c r="CJ52" i="2"/>
  <c r="DI53" i="2"/>
  <c r="DJ54" i="2"/>
  <c r="CH56" i="2"/>
  <c r="CI57" i="2"/>
  <c r="CG61" i="2"/>
  <c r="CH62" i="2"/>
  <c r="CG67" i="2"/>
  <c r="CH68" i="2"/>
  <c r="DJ69" i="2"/>
  <c r="CI71" i="2"/>
  <c r="DH95" i="2"/>
  <c r="DG146" i="2"/>
  <c r="DG150" i="2"/>
  <c r="DG154" i="2"/>
  <c r="DG158" i="2"/>
  <c r="DG162" i="2"/>
  <c r="DG166" i="2"/>
  <c r="DG170" i="2"/>
  <c r="DG174" i="2"/>
  <c r="DG178" i="2"/>
  <c r="DG182" i="2"/>
  <c r="DG186" i="2"/>
  <c r="DI195" i="2"/>
  <c r="DH197" i="2"/>
  <c r="C197" i="2"/>
  <c r="CH197" i="2"/>
  <c r="CD197" i="2"/>
  <c r="AV197" i="2" s="1"/>
  <c r="DG203" i="2"/>
  <c r="CB203" i="2"/>
  <c r="AH203" i="2" s="1"/>
  <c r="DD203" i="2"/>
  <c r="CH203" i="2"/>
  <c r="CF203" i="2"/>
  <c r="DI203" i="2"/>
  <c r="CI206" i="2"/>
  <c r="CD208" i="2"/>
  <c r="DR12" i="2"/>
  <c r="DR13" i="2"/>
  <c r="DR15" i="2"/>
  <c r="DR16" i="2"/>
  <c r="DR18" i="2"/>
  <c r="DR19" i="2"/>
  <c r="DR21" i="2"/>
  <c r="DR22" i="2"/>
  <c r="DR24" i="2"/>
  <c r="DR25" i="2"/>
  <c r="DR27" i="2"/>
  <c r="DR28" i="2"/>
  <c r="DR30" i="2"/>
  <c r="DR31" i="2"/>
  <c r="DR32" i="2"/>
  <c r="DR33" i="2"/>
  <c r="DR34" i="2"/>
  <c r="DR35" i="2"/>
  <c r="DT37" i="2"/>
  <c r="DL49" i="2"/>
  <c r="DI52" i="2"/>
  <c r="DJ53" i="2"/>
  <c r="DK54" i="2"/>
  <c r="DK69" i="2"/>
  <c r="CJ71" i="2"/>
  <c r="CG73" i="2"/>
  <c r="CI92" i="2"/>
  <c r="CI104" i="2"/>
  <c r="CH110" i="2"/>
  <c r="CE148" i="2"/>
  <c r="CC148" i="2"/>
  <c r="DI148" i="2"/>
  <c r="CE152" i="2"/>
  <c r="CC152" i="2"/>
  <c r="DI152" i="2"/>
  <c r="CE156" i="2"/>
  <c r="CC156" i="2"/>
  <c r="AV156" i="2" s="1"/>
  <c r="DI156" i="2"/>
  <c r="CE160" i="2"/>
  <c r="CC160" i="2"/>
  <c r="DI160" i="2"/>
  <c r="CE164" i="2"/>
  <c r="CC164" i="2"/>
  <c r="DI164" i="2"/>
  <c r="CE168" i="2"/>
  <c r="CC168" i="2"/>
  <c r="DI168" i="2"/>
  <c r="CE172" i="2"/>
  <c r="CC172" i="2"/>
  <c r="AV172" i="2" s="1"/>
  <c r="DI172" i="2"/>
  <c r="CE176" i="2"/>
  <c r="CC176" i="2"/>
  <c r="DI176" i="2"/>
  <c r="CE180" i="2"/>
  <c r="CC180" i="2"/>
  <c r="DI180" i="2"/>
  <c r="CE184" i="2"/>
  <c r="CC184" i="2"/>
  <c r="AV184" i="2" s="1"/>
  <c r="DI184" i="2"/>
  <c r="CE188" i="2"/>
  <c r="CC188" i="2"/>
  <c r="AV188" i="2" s="1"/>
  <c r="DI188" i="2"/>
  <c r="DF194" i="2"/>
  <c r="CG207" i="2"/>
  <c r="CE208" i="2"/>
  <c r="CT11" i="2"/>
  <c r="AL11" i="2" s="1"/>
  <c r="DS12" i="2"/>
  <c r="DS13" i="2"/>
  <c r="DS15" i="2"/>
  <c r="DS16" i="2"/>
  <c r="DS18" i="2"/>
  <c r="DS19" i="2"/>
  <c r="DS21" i="2"/>
  <c r="DS22" i="2"/>
  <c r="DS24" i="2"/>
  <c r="DS25" i="2"/>
  <c r="DS27" i="2"/>
  <c r="DS28" i="2"/>
  <c r="DS30" i="2"/>
  <c r="DS31" i="2"/>
  <c r="DS32" i="2"/>
  <c r="DS33" i="2"/>
  <c r="DS34" i="2"/>
  <c r="DS35" i="2"/>
  <c r="C37" i="2"/>
  <c r="C50" i="2"/>
  <c r="DK53" i="2"/>
  <c r="DL54" i="2"/>
  <c r="CJ56" i="2"/>
  <c r="CI61" i="2"/>
  <c r="CJ62" i="2"/>
  <c r="CI67" i="2"/>
  <c r="DL69" i="2"/>
  <c r="DF89" i="2"/>
  <c r="CH89" i="2"/>
  <c r="H89" i="2" s="1"/>
  <c r="DF101" i="2"/>
  <c r="CH101" i="2"/>
  <c r="H101" i="2" s="1"/>
  <c r="DH109" i="2"/>
  <c r="DF109" i="2"/>
  <c r="CF109" i="2"/>
  <c r="CB196" i="2"/>
  <c r="AV196" i="2" s="1"/>
  <c r="DF196" i="2"/>
  <c r="CH196" i="2"/>
  <c r="CF204" i="2"/>
  <c r="DI204" i="2"/>
  <c r="CD204" i="2"/>
  <c r="DD204" i="2"/>
  <c r="DB204" i="2"/>
  <c r="C204" i="2"/>
  <c r="D212" i="2"/>
  <c r="CU11" i="2"/>
  <c r="DV11" i="2"/>
  <c r="DT12" i="2"/>
  <c r="DT13" i="2"/>
  <c r="DT15" i="2"/>
  <c r="DT16" i="2"/>
  <c r="DT18" i="2"/>
  <c r="DT19" i="2"/>
  <c r="DT21" i="2"/>
  <c r="DT22" i="2"/>
  <c r="DT24" i="2"/>
  <c r="DT25" i="2"/>
  <c r="DT27" i="2"/>
  <c r="DT28" i="2"/>
  <c r="DT30" i="2"/>
  <c r="DT31" i="2"/>
  <c r="DT32" i="2"/>
  <c r="DT33" i="2"/>
  <c r="DT34" i="2"/>
  <c r="DT35" i="2"/>
  <c r="DE44" i="2"/>
  <c r="C49" i="2"/>
  <c r="DK52" i="2"/>
  <c r="DL53" i="2"/>
  <c r="DJ68" i="2"/>
  <c r="DJ71" i="2"/>
  <c r="DG145" i="2"/>
  <c r="DG149" i="2"/>
  <c r="DG153" i="2"/>
  <c r="DG157" i="2"/>
  <c r="DG161" i="2"/>
  <c r="DG165" i="2"/>
  <c r="DG169" i="2"/>
  <c r="DG173" i="2"/>
  <c r="DG177" i="2"/>
  <c r="DG181" i="2"/>
  <c r="DG185" i="2"/>
  <c r="DG189" i="2"/>
  <c r="CF202" i="2"/>
  <c r="DH212" i="2"/>
  <c r="DF212" i="2"/>
  <c r="DC212" i="2"/>
  <c r="DJ212" i="2"/>
  <c r="C12" i="2"/>
  <c r="C13" i="2"/>
  <c r="C15" i="2"/>
  <c r="C16" i="2"/>
  <c r="C18" i="2"/>
  <c r="C19" i="2"/>
  <c r="C21" i="2"/>
  <c r="C22" i="2"/>
  <c r="C24" i="2"/>
  <c r="C25" i="2"/>
  <c r="C27" i="2"/>
  <c r="DJ56" i="2"/>
  <c r="DI61" i="2"/>
  <c r="DJ62" i="2"/>
  <c r="DI67" i="2"/>
  <c r="CE147" i="2"/>
  <c r="CC147" i="2"/>
  <c r="AV147" i="2" s="1"/>
  <c r="DI147" i="2"/>
  <c r="CE151" i="2"/>
  <c r="CC151" i="2"/>
  <c r="AV151" i="2" s="1"/>
  <c r="DI151" i="2"/>
  <c r="CE155" i="2"/>
  <c r="AV155" i="2" s="1"/>
  <c r="CC155" i="2"/>
  <c r="DI155" i="2"/>
  <c r="CE159" i="2"/>
  <c r="CC159" i="2"/>
  <c r="DI159" i="2"/>
  <c r="CE163" i="2"/>
  <c r="CC163" i="2"/>
  <c r="AV163" i="2" s="1"/>
  <c r="DI163" i="2"/>
  <c r="CE167" i="2"/>
  <c r="CC167" i="2"/>
  <c r="AV167" i="2" s="1"/>
  <c r="DI167" i="2"/>
  <c r="CE171" i="2"/>
  <c r="CC171" i="2"/>
  <c r="AV171" i="2" s="1"/>
  <c r="DI171" i="2"/>
  <c r="CE175" i="2"/>
  <c r="CC175" i="2"/>
  <c r="DI175" i="2"/>
  <c r="CE179" i="2"/>
  <c r="CC179" i="2"/>
  <c r="AV179" i="2" s="1"/>
  <c r="DI179" i="2"/>
  <c r="CE183" i="2"/>
  <c r="CC183" i="2"/>
  <c r="AV183" i="2" s="1"/>
  <c r="DI183" i="2"/>
  <c r="CE187" i="2"/>
  <c r="CC187" i="2"/>
  <c r="AV187" i="2" s="1"/>
  <c r="DI187" i="2"/>
  <c r="CD195" i="2"/>
  <c r="CB195" i="2"/>
  <c r="AV195" i="2" s="1"/>
  <c r="DH195" i="2"/>
  <c r="C195" i="2"/>
  <c r="DF195" i="2"/>
  <c r="C206" i="2"/>
  <c r="DC208" i="2"/>
  <c r="CH45" i="2"/>
  <c r="C53" i="2"/>
  <c r="DL68" i="2"/>
  <c r="DL71" i="2"/>
  <c r="DF86" i="2"/>
  <c r="CH86" i="2"/>
  <c r="H86" i="2" s="1"/>
  <c r="DF98" i="2"/>
  <c r="CH98" i="2"/>
  <c r="H98" i="2" s="1"/>
  <c r="CI109" i="2"/>
  <c r="M133" i="2"/>
  <c r="C194" i="2"/>
  <c r="CB204" i="2"/>
  <c r="DH205" i="2"/>
  <c r="DF205" i="2"/>
  <c r="DF207" i="2"/>
  <c r="CU37" i="2"/>
  <c r="AL37" i="2" s="1"/>
  <c r="CG49" i="2"/>
  <c r="CH50" i="2"/>
  <c r="C52" i="2"/>
  <c r="DL56" i="2"/>
  <c r="DK61" i="2"/>
  <c r="DL62" i="2"/>
  <c r="DK67" i="2"/>
  <c r="D72" i="2"/>
  <c r="C72" i="2" s="1"/>
  <c r="DH101" i="2"/>
  <c r="CJ109" i="2"/>
  <c r="CG206" i="2"/>
  <c r="AH206" i="2" s="1"/>
  <c r="DJ206" i="2"/>
  <c r="CE206" i="2"/>
  <c r="DF206" i="2"/>
  <c r="DC206" i="2"/>
  <c r="CG69" i="2"/>
  <c r="DI69" i="2"/>
  <c r="E72" i="2"/>
  <c r="CE146" i="2"/>
  <c r="CC146" i="2"/>
  <c r="DI146" i="2"/>
  <c r="CE150" i="2"/>
  <c r="CC150" i="2"/>
  <c r="DI150" i="2"/>
  <c r="CE154" i="2"/>
  <c r="CC154" i="2"/>
  <c r="AV154" i="2" s="1"/>
  <c r="DI154" i="2"/>
  <c r="CE158" i="2"/>
  <c r="CC158" i="2"/>
  <c r="AV158" i="2" s="1"/>
  <c r="DI158" i="2"/>
  <c r="CE162" i="2"/>
  <c r="CC162" i="2"/>
  <c r="AV162" i="2" s="1"/>
  <c r="DI162" i="2"/>
  <c r="CE166" i="2"/>
  <c r="CC166" i="2"/>
  <c r="DI166" i="2"/>
  <c r="CE170" i="2"/>
  <c r="CC170" i="2"/>
  <c r="AV170" i="2" s="1"/>
  <c r="DI170" i="2"/>
  <c r="CE174" i="2"/>
  <c r="CC174" i="2"/>
  <c r="AV174" i="2" s="1"/>
  <c r="DI174" i="2"/>
  <c r="CE178" i="2"/>
  <c r="CC178" i="2"/>
  <c r="AV178" i="2" s="1"/>
  <c r="DI178" i="2"/>
  <c r="CE182" i="2"/>
  <c r="CC182" i="2"/>
  <c r="DI182" i="2"/>
  <c r="CE186" i="2"/>
  <c r="CC186" i="2"/>
  <c r="AV186" i="2" s="1"/>
  <c r="DI186" i="2"/>
  <c r="DD202" i="2"/>
  <c r="C68" i="2"/>
  <c r="DG86" i="2"/>
  <c r="DF95" i="2"/>
  <c r="CH95" i="2"/>
  <c r="H95" i="2" s="1"/>
  <c r="DD109" i="2"/>
  <c r="C145" i="2"/>
  <c r="C149" i="2"/>
  <c r="C153" i="2"/>
  <c r="C157" i="2"/>
  <c r="C161" i="2"/>
  <c r="C165" i="2"/>
  <c r="C169" i="2"/>
  <c r="C173" i="2"/>
  <c r="C177" i="2"/>
  <c r="C181" i="2"/>
  <c r="C185" i="2"/>
  <c r="C189" i="2"/>
  <c r="DC207" i="2"/>
  <c r="CI207" i="2"/>
  <c r="DJ207" i="2"/>
  <c r="CE207" i="2"/>
  <c r="DH207" i="2"/>
  <c r="CC207" i="2"/>
  <c r="AH207" i="2" s="1"/>
  <c r="C208" i="2"/>
  <c r="DJ208" i="2"/>
  <c r="DH86" i="2"/>
  <c r="DH98" i="2"/>
  <c r="DG109" i="2"/>
  <c r="DG147" i="2"/>
  <c r="DG151" i="2"/>
  <c r="DG155" i="2"/>
  <c r="DG159" i="2"/>
  <c r="DG163" i="2"/>
  <c r="DG167" i="2"/>
  <c r="DG171" i="2"/>
  <c r="DG175" i="2"/>
  <c r="DG179" i="2"/>
  <c r="DG183" i="2"/>
  <c r="DG187" i="2"/>
  <c r="CH195" i="2"/>
  <c r="CH204" i="2"/>
  <c r="DC209" i="2"/>
  <c r="CC210" i="2"/>
  <c r="DH210" i="2"/>
  <c r="CG211" i="2"/>
  <c r="CH213" i="2"/>
  <c r="CD210" i="2"/>
  <c r="CH211" i="2"/>
  <c r="CI213" i="2"/>
  <c r="DF209" i="2"/>
  <c r="CE210" i="2"/>
  <c r="DJ210" i="2"/>
  <c r="CI211" i="2"/>
  <c r="C213" i="2"/>
  <c r="DB213" i="2"/>
  <c r="C211" i="2"/>
  <c r="DB211" i="2"/>
  <c r="DC213" i="2"/>
  <c r="CG210" i="2"/>
  <c r="DD213" i="2"/>
  <c r="DD211" i="2"/>
  <c r="DF213" i="2"/>
  <c r="CE209" i="2"/>
  <c r="AH209" i="2" s="1"/>
  <c r="DJ209" i="2"/>
  <c r="CI210" i="2"/>
  <c r="DF211" i="2"/>
  <c r="CB213" i="2"/>
  <c r="DG213" i="2"/>
  <c r="C210" i="2"/>
  <c r="CB211" i="2"/>
  <c r="DG211" i="2"/>
  <c r="CC213" i="2"/>
  <c r="DH213" i="2"/>
  <c r="CC211" i="2"/>
  <c r="CD213" i="2"/>
  <c r="CD211" i="2"/>
  <c r="DI211" i="2"/>
  <c r="CE213" i="2"/>
  <c r="DJ213" i="2"/>
  <c r="A220" i="2" l="1"/>
  <c r="A219" i="2"/>
  <c r="AH204" i="2"/>
  <c r="C212" i="2"/>
  <c r="DD212" i="2"/>
  <c r="DB212" i="2"/>
  <c r="DI212" i="2"/>
  <c r="DG212" i="2"/>
  <c r="H92" i="2"/>
  <c r="AV168" i="2"/>
  <c r="AV152" i="2"/>
  <c r="AH213" i="2"/>
  <c r="AH210" i="2"/>
  <c r="AH208" i="2"/>
  <c r="AV161" i="2"/>
  <c r="AV145" i="2"/>
  <c r="AV182" i="2"/>
  <c r="AV166" i="2"/>
  <c r="AV150" i="2"/>
  <c r="AV180" i="2"/>
  <c r="AV164" i="2"/>
  <c r="AV148" i="2"/>
  <c r="O110" i="2"/>
  <c r="O109" i="2"/>
  <c r="AV176" i="2"/>
  <c r="AV160" i="2"/>
  <c r="H104" i="2"/>
  <c r="AV169" i="2"/>
  <c r="AV153" i="2"/>
  <c r="AV146" i="2"/>
  <c r="AH202" i="2"/>
  <c r="AH211" i="2"/>
  <c r="B160" i="1" l="1"/>
  <c r="CQ138" i="1"/>
  <c r="CP138" i="1"/>
  <c r="CO138" i="1"/>
  <c r="CN138" i="1"/>
  <c r="CD138" i="1"/>
  <c r="CC138" i="1"/>
  <c r="CB138" i="1"/>
  <c r="CA138" i="1"/>
  <c r="K137" i="1"/>
  <c r="J137" i="1"/>
  <c r="I137" i="1"/>
  <c r="H137" i="1"/>
  <c r="G137" i="1"/>
  <c r="F137" i="1"/>
  <c r="E137" i="1"/>
  <c r="D137" i="1"/>
  <c r="C137" i="1"/>
  <c r="B137" i="1"/>
  <c r="CQ136" i="1"/>
  <c r="CP136" i="1"/>
  <c r="CO136" i="1"/>
  <c r="CN136" i="1"/>
  <c r="CD136" i="1"/>
  <c r="CC136" i="1"/>
  <c r="CB136" i="1"/>
  <c r="CA136" i="1"/>
  <c r="CQ135" i="1"/>
  <c r="CP135" i="1"/>
  <c r="CO135" i="1"/>
  <c r="CN135" i="1"/>
  <c r="CD135" i="1"/>
  <c r="CC135" i="1"/>
  <c r="CB135" i="1"/>
  <c r="CA135" i="1"/>
  <c r="CQ134" i="1"/>
  <c r="CP134" i="1"/>
  <c r="CO134" i="1"/>
  <c r="CN134" i="1"/>
  <c r="CD134" i="1"/>
  <c r="CC134" i="1"/>
  <c r="CB134" i="1"/>
  <c r="CA134" i="1"/>
  <c r="CQ133" i="1"/>
  <c r="CP133" i="1"/>
  <c r="CO133" i="1"/>
  <c r="CN133" i="1"/>
  <c r="CD133" i="1"/>
  <c r="CC133" i="1"/>
  <c r="CB133" i="1"/>
  <c r="CA133" i="1"/>
  <c r="CQ132" i="1"/>
  <c r="CP132" i="1"/>
  <c r="CO132" i="1"/>
  <c r="CN132" i="1"/>
  <c r="CD132" i="1"/>
  <c r="CC132" i="1"/>
  <c r="CB132" i="1"/>
  <c r="CA132" i="1"/>
  <c r="CQ131" i="1"/>
  <c r="CP131" i="1"/>
  <c r="CO131" i="1"/>
  <c r="CN131" i="1"/>
  <c r="CD131" i="1"/>
  <c r="CC131" i="1"/>
  <c r="CB131" i="1"/>
  <c r="CA131" i="1"/>
  <c r="CQ130" i="1"/>
  <c r="CP130" i="1"/>
  <c r="CO130" i="1"/>
  <c r="CN130" i="1"/>
  <c r="CD130" i="1"/>
  <c r="CC130" i="1"/>
  <c r="CB130" i="1"/>
  <c r="CA130" i="1"/>
  <c r="CQ129" i="1"/>
  <c r="CP129" i="1"/>
  <c r="CO129" i="1"/>
  <c r="CN129" i="1"/>
  <c r="CD129" i="1"/>
  <c r="CC129" i="1"/>
  <c r="CB129" i="1"/>
  <c r="CA129" i="1"/>
  <c r="CQ128" i="1"/>
  <c r="CP128" i="1"/>
  <c r="CO128" i="1"/>
  <c r="CN128" i="1"/>
  <c r="CD128" i="1"/>
  <c r="CC128" i="1"/>
  <c r="CB128" i="1"/>
  <c r="CA128" i="1"/>
  <c r="L124" i="1"/>
  <c r="K124" i="1"/>
  <c r="J124" i="1"/>
  <c r="I124" i="1"/>
  <c r="H124" i="1"/>
  <c r="G124" i="1"/>
  <c r="F124" i="1"/>
  <c r="E124" i="1"/>
  <c r="D124" i="1"/>
  <c r="C124" i="1"/>
  <c r="C123" i="1"/>
  <c r="C122" i="1"/>
  <c r="C121" i="1"/>
  <c r="C120" i="1"/>
  <c r="E115" i="1"/>
  <c r="D115" i="1"/>
  <c r="C115" i="1"/>
  <c r="B115" i="1"/>
  <c r="CO102" i="1"/>
  <c r="CN102" i="1"/>
  <c r="CA102" i="1"/>
  <c r="C102" i="1"/>
  <c r="CB102" i="1" s="1"/>
  <c r="CB101" i="1"/>
  <c r="CA101" i="1"/>
  <c r="K101" i="1" s="1"/>
  <c r="C101" i="1"/>
  <c r="CO101" i="1" s="1"/>
  <c r="CO100" i="1"/>
  <c r="CN100" i="1"/>
  <c r="CA100" i="1"/>
  <c r="C100" i="1"/>
  <c r="CB100" i="1" s="1"/>
  <c r="CB99" i="1"/>
  <c r="CA99" i="1"/>
  <c r="K99" i="1" s="1"/>
  <c r="C99" i="1"/>
  <c r="CO99" i="1" s="1"/>
  <c r="CO98" i="1"/>
  <c r="CN98" i="1"/>
  <c r="CA98" i="1"/>
  <c r="C98" i="1"/>
  <c r="CB98" i="1" s="1"/>
  <c r="CB97" i="1"/>
  <c r="CA97" i="1"/>
  <c r="K97" i="1" s="1"/>
  <c r="C97" i="1"/>
  <c r="CO97" i="1" s="1"/>
  <c r="CO96" i="1"/>
  <c r="CN96" i="1"/>
  <c r="CA96" i="1"/>
  <c r="C96" i="1"/>
  <c r="CB96" i="1" s="1"/>
  <c r="CR91" i="1"/>
  <c r="CQ91" i="1"/>
  <c r="CP91" i="1"/>
  <c r="CE91" i="1"/>
  <c r="CD91" i="1"/>
  <c r="CC91" i="1"/>
  <c r="CR90" i="1"/>
  <c r="CQ90" i="1"/>
  <c r="CP90" i="1"/>
  <c r="CE90" i="1"/>
  <c r="CD90" i="1"/>
  <c r="CR89" i="1"/>
  <c r="CQ89" i="1"/>
  <c r="CP89" i="1"/>
  <c r="CO89" i="1"/>
  <c r="CN89" i="1"/>
  <c r="CE89" i="1"/>
  <c r="CD89" i="1"/>
  <c r="CB89" i="1"/>
  <c r="CA89" i="1"/>
  <c r="CR88" i="1"/>
  <c r="CQ88" i="1"/>
  <c r="CP88" i="1"/>
  <c r="CO88" i="1"/>
  <c r="CN88" i="1"/>
  <c r="CE88" i="1"/>
  <c r="G88" i="1" s="1"/>
  <c r="CD88" i="1"/>
  <c r="CC88" i="1"/>
  <c r="CB88" i="1"/>
  <c r="CA88" i="1"/>
  <c r="CR87" i="1"/>
  <c r="CQ87" i="1"/>
  <c r="CP87" i="1"/>
  <c r="CE87" i="1"/>
  <c r="CD87" i="1"/>
  <c r="G87" i="1" s="1"/>
  <c r="CC87" i="1"/>
  <c r="CR86" i="1"/>
  <c r="CQ86" i="1"/>
  <c r="CP86" i="1"/>
  <c r="CE86" i="1"/>
  <c r="CD86" i="1"/>
  <c r="CC86" i="1"/>
  <c r="CR85" i="1"/>
  <c r="CQ85" i="1"/>
  <c r="CP85" i="1"/>
  <c r="CO85" i="1"/>
  <c r="CN85" i="1"/>
  <c r="CE85" i="1"/>
  <c r="CD85" i="1"/>
  <c r="CC85" i="1"/>
  <c r="CB85" i="1"/>
  <c r="CA85" i="1"/>
  <c r="CR84" i="1"/>
  <c r="CQ84" i="1"/>
  <c r="CP84" i="1"/>
  <c r="CE84" i="1"/>
  <c r="CD84" i="1"/>
  <c r="CC84" i="1"/>
  <c r="G84" i="1" s="1"/>
  <c r="CN78" i="1"/>
  <c r="CA78" i="1"/>
  <c r="L74" i="1"/>
  <c r="K74" i="1"/>
  <c r="J74" i="1"/>
  <c r="I74" i="1"/>
  <c r="H74" i="1"/>
  <c r="C74" i="1" s="1"/>
  <c r="G74" i="1"/>
  <c r="F74" i="1"/>
  <c r="E74" i="1"/>
  <c r="D74" i="1"/>
  <c r="C73" i="1"/>
  <c r="C72" i="1"/>
  <c r="C71" i="1"/>
  <c r="C70" i="1"/>
  <c r="CU69" i="1"/>
  <c r="CT69" i="1"/>
  <c r="CS69" i="1"/>
  <c r="CQ69" i="1"/>
  <c r="CP69" i="1"/>
  <c r="CG69" i="1"/>
  <c r="CF69" i="1"/>
  <c r="CE69" i="1"/>
  <c r="CD69" i="1"/>
  <c r="CC69" i="1"/>
  <c r="L69" i="1"/>
  <c r="CI69" i="1" s="1"/>
  <c r="K69" i="1"/>
  <c r="CH69" i="1" s="1"/>
  <c r="J69" i="1"/>
  <c r="I69" i="1"/>
  <c r="H69" i="1"/>
  <c r="CR69" i="1" s="1"/>
  <c r="G69" i="1"/>
  <c r="F69" i="1"/>
  <c r="E69" i="1"/>
  <c r="CB69" i="1" s="1"/>
  <c r="D69" i="1"/>
  <c r="C69" i="1" s="1"/>
  <c r="C68" i="1"/>
  <c r="CN77" i="1" s="1"/>
  <c r="C67" i="1"/>
  <c r="C66" i="1"/>
  <c r="CN79" i="1" s="1"/>
  <c r="C65" i="1"/>
  <c r="D61" i="1"/>
  <c r="B61" i="1"/>
  <c r="CO60" i="1"/>
  <c r="CN60" i="1"/>
  <c r="CB60" i="1"/>
  <c r="CA60" i="1"/>
  <c r="C60" i="1"/>
  <c r="CO59" i="1"/>
  <c r="CN59" i="1"/>
  <c r="CB59" i="1"/>
  <c r="C59" i="1"/>
  <c r="CA59" i="1" s="1"/>
  <c r="CO58" i="1"/>
  <c r="CN58" i="1"/>
  <c r="CB58" i="1"/>
  <c r="CA58" i="1"/>
  <c r="C58" i="1"/>
  <c r="CO57" i="1"/>
  <c r="CN57" i="1"/>
  <c r="CB57" i="1"/>
  <c r="C57" i="1"/>
  <c r="CA57" i="1" s="1"/>
  <c r="K53" i="1"/>
  <c r="J53" i="1"/>
  <c r="I53" i="1"/>
  <c r="H53" i="1"/>
  <c r="G53" i="1"/>
  <c r="F53" i="1"/>
  <c r="E53" i="1"/>
  <c r="D53" i="1"/>
  <c r="C53" i="1"/>
  <c r="B53" i="1"/>
  <c r="CV52" i="1"/>
  <c r="CU52" i="1"/>
  <c r="CT52" i="1"/>
  <c r="CS52" i="1"/>
  <c r="CR52" i="1"/>
  <c r="CQ52" i="1"/>
  <c r="CP52" i="1"/>
  <c r="CO52" i="1"/>
  <c r="CN52" i="1"/>
  <c r="CI52" i="1"/>
  <c r="CH52" i="1"/>
  <c r="CG52" i="1"/>
  <c r="CF52" i="1"/>
  <c r="CE52" i="1"/>
  <c r="CD52" i="1"/>
  <c r="CC52" i="1"/>
  <c r="CB52" i="1"/>
  <c r="CA52" i="1"/>
  <c r="CV51" i="1"/>
  <c r="CU51" i="1"/>
  <c r="CT51" i="1"/>
  <c r="CS51" i="1"/>
  <c r="CR51" i="1"/>
  <c r="CQ51" i="1"/>
  <c r="CP51" i="1"/>
  <c r="CO51" i="1"/>
  <c r="CN51" i="1"/>
  <c r="CI51" i="1"/>
  <c r="CH51" i="1"/>
  <c r="CG51" i="1"/>
  <c r="CF51" i="1"/>
  <c r="CE51" i="1"/>
  <c r="CD51" i="1"/>
  <c r="CC51" i="1"/>
  <c r="CB51" i="1"/>
  <c r="CA51" i="1"/>
  <c r="CV50" i="1"/>
  <c r="CU50" i="1"/>
  <c r="CT50" i="1"/>
  <c r="CS50" i="1"/>
  <c r="CR50" i="1"/>
  <c r="CQ50" i="1"/>
  <c r="CP50" i="1"/>
  <c r="CO50" i="1"/>
  <c r="CN50" i="1"/>
  <c r="CI50" i="1"/>
  <c r="CH50" i="1"/>
  <c r="CG50" i="1"/>
  <c r="CF50" i="1"/>
  <c r="CE50" i="1"/>
  <c r="CD50" i="1"/>
  <c r="CC50" i="1"/>
  <c r="CB50" i="1"/>
  <c r="CA50" i="1"/>
  <c r="CV49" i="1"/>
  <c r="CU49" i="1"/>
  <c r="CT49" i="1"/>
  <c r="CS49" i="1"/>
  <c r="CR49" i="1"/>
  <c r="CQ49" i="1"/>
  <c r="CP49" i="1"/>
  <c r="CO49" i="1"/>
  <c r="CN49" i="1"/>
  <c r="CI49" i="1"/>
  <c r="CH49" i="1"/>
  <c r="CG49" i="1"/>
  <c r="CF49" i="1"/>
  <c r="CE49" i="1"/>
  <c r="CD49" i="1"/>
  <c r="CC49" i="1"/>
  <c r="CB49" i="1"/>
  <c r="CA49" i="1"/>
  <c r="CV48" i="1"/>
  <c r="CU48" i="1"/>
  <c r="CT48" i="1"/>
  <c r="CS48" i="1"/>
  <c r="CR48" i="1"/>
  <c r="CQ48" i="1"/>
  <c r="CP48" i="1"/>
  <c r="CO48" i="1"/>
  <c r="CN48" i="1"/>
  <c r="CI48" i="1"/>
  <c r="CH48" i="1"/>
  <c r="CG48" i="1"/>
  <c r="CF48" i="1"/>
  <c r="CE48" i="1"/>
  <c r="CD48" i="1"/>
  <c r="CC48" i="1"/>
  <c r="CB48" i="1"/>
  <c r="CA48" i="1"/>
  <c r="CV47" i="1"/>
  <c r="CU47" i="1"/>
  <c r="CT47" i="1"/>
  <c r="CS47" i="1"/>
  <c r="CR47" i="1"/>
  <c r="CQ47" i="1"/>
  <c r="CP47" i="1"/>
  <c r="CO47" i="1"/>
  <c r="CN47" i="1"/>
  <c r="CI47" i="1"/>
  <c r="CH47" i="1"/>
  <c r="CG47" i="1"/>
  <c r="CF47" i="1"/>
  <c r="CE47" i="1"/>
  <c r="CD47" i="1"/>
  <c r="CC47" i="1"/>
  <c r="CB47" i="1"/>
  <c r="CA47" i="1"/>
  <c r="CV46" i="1"/>
  <c r="CU46" i="1"/>
  <c r="CT46" i="1"/>
  <c r="CS46" i="1"/>
  <c r="CR46" i="1"/>
  <c r="CQ46" i="1"/>
  <c r="CP46" i="1"/>
  <c r="CO46" i="1"/>
  <c r="CN46" i="1"/>
  <c r="CI46" i="1"/>
  <c r="CH46" i="1"/>
  <c r="CG46" i="1"/>
  <c r="CF46" i="1"/>
  <c r="CE46" i="1"/>
  <c r="CD46" i="1"/>
  <c r="CC46" i="1"/>
  <c r="CB46" i="1"/>
  <c r="CA46" i="1"/>
  <c r="CV45" i="1"/>
  <c r="CU45" i="1"/>
  <c r="CT45" i="1"/>
  <c r="CS45" i="1"/>
  <c r="CR45" i="1"/>
  <c r="CQ45" i="1"/>
  <c r="CP45" i="1"/>
  <c r="CO45" i="1"/>
  <c r="CN45" i="1"/>
  <c r="CI45" i="1"/>
  <c r="CH45" i="1"/>
  <c r="CG45" i="1"/>
  <c r="CF45" i="1"/>
  <c r="CE45" i="1"/>
  <c r="CD45" i="1"/>
  <c r="CC45" i="1"/>
  <c r="CB45" i="1"/>
  <c r="CA45" i="1"/>
  <c r="CV44" i="1"/>
  <c r="CU44" i="1"/>
  <c r="CT44" i="1"/>
  <c r="CS44" i="1"/>
  <c r="CR44" i="1"/>
  <c r="CQ44" i="1"/>
  <c r="CP44" i="1"/>
  <c r="CO44" i="1"/>
  <c r="CN44" i="1"/>
  <c r="CJ44" i="1"/>
  <c r="CI44" i="1"/>
  <c r="CH44" i="1"/>
  <c r="CG44" i="1"/>
  <c r="CF44" i="1"/>
  <c r="CE44" i="1"/>
  <c r="CD44" i="1"/>
  <c r="CC44" i="1"/>
  <c r="CB44" i="1"/>
  <c r="CA44" i="1"/>
  <c r="CV40" i="1"/>
  <c r="CU40" i="1"/>
  <c r="CQ40" i="1"/>
  <c r="CP40" i="1"/>
  <c r="CC40" i="1"/>
  <c r="CB40" i="1"/>
  <c r="CA40" i="1"/>
  <c r="C40" i="1"/>
  <c r="CS40" i="1" s="1"/>
  <c r="CV39" i="1"/>
  <c r="CU39" i="1"/>
  <c r="CS39" i="1"/>
  <c r="CQ39" i="1"/>
  <c r="CP39" i="1"/>
  <c r="CO39" i="1"/>
  <c r="CH39" i="1"/>
  <c r="CG39" i="1"/>
  <c r="CE39" i="1"/>
  <c r="CC39" i="1"/>
  <c r="CB39" i="1"/>
  <c r="CA39" i="1"/>
  <c r="C39" i="1"/>
  <c r="CD39" i="1" s="1"/>
  <c r="CQ38" i="1"/>
  <c r="CP38" i="1"/>
  <c r="CG38" i="1"/>
  <c r="CF38" i="1"/>
  <c r="C38" i="1"/>
  <c r="CO38" i="1" s="1"/>
  <c r="CV37" i="1"/>
  <c r="CU37" i="1"/>
  <c r="CQ37" i="1"/>
  <c r="CP37" i="1"/>
  <c r="CC37" i="1"/>
  <c r="CB37" i="1"/>
  <c r="CA37" i="1"/>
  <c r="C37" i="1"/>
  <c r="CS37" i="1" s="1"/>
  <c r="CV36" i="1"/>
  <c r="CU36" i="1"/>
  <c r="CT36" i="1"/>
  <c r="CQ36" i="1"/>
  <c r="CP36" i="1"/>
  <c r="CO36" i="1"/>
  <c r="CH36" i="1"/>
  <c r="CG36" i="1"/>
  <c r="CF36" i="1"/>
  <c r="CD36" i="1"/>
  <c r="CC36" i="1"/>
  <c r="CB36" i="1"/>
  <c r="CA36" i="1"/>
  <c r="C36" i="1"/>
  <c r="CR36" i="1" s="1"/>
  <c r="CQ35" i="1"/>
  <c r="CP35" i="1"/>
  <c r="CG35" i="1"/>
  <c r="CE35" i="1"/>
  <c r="CC35" i="1"/>
  <c r="CB35" i="1"/>
  <c r="C35" i="1"/>
  <c r="CO35" i="1" s="1"/>
  <c r="CH31" i="1"/>
  <c r="CG31" i="1"/>
  <c r="CD31" i="1"/>
  <c r="CC31" i="1"/>
  <c r="CB31" i="1"/>
  <c r="C31" i="1"/>
  <c r="CE31" i="1" s="1"/>
  <c r="CQ30" i="1"/>
  <c r="CG30" i="1"/>
  <c r="C30" i="1"/>
  <c r="CP30" i="1" s="1"/>
  <c r="CV29" i="1"/>
  <c r="CQ29" i="1"/>
  <c r="CC29" i="1"/>
  <c r="CB29" i="1"/>
  <c r="C29" i="1"/>
  <c r="CU29" i="1" s="1"/>
  <c r="CV28" i="1"/>
  <c r="CP28" i="1"/>
  <c r="CO28" i="1"/>
  <c r="CH28" i="1"/>
  <c r="CG28" i="1"/>
  <c r="CD28" i="1"/>
  <c r="CC28" i="1"/>
  <c r="CB28" i="1"/>
  <c r="C28" i="1"/>
  <c r="CE28" i="1" s="1"/>
  <c r="CQ27" i="1"/>
  <c r="CG27" i="1"/>
  <c r="C27" i="1"/>
  <c r="CP27" i="1" s="1"/>
  <c r="CV26" i="1"/>
  <c r="CQ26" i="1"/>
  <c r="CC26" i="1"/>
  <c r="CB26" i="1"/>
  <c r="C26" i="1"/>
  <c r="CU26" i="1" s="1"/>
  <c r="X25" i="1"/>
  <c r="W25" i="1"/>
  <c r="V25" i="1"/>
  <c r="U25" i="1"/>
  <c r="T25" i="1"/>
  <c r="S25" i="1"/>
  <c r="R25" i="1"/>
  <c r="Q25" i="1"/>
  <c r="M25" i="1"/>
  <c r="L25" i="1"/>
  <c r="K25" i="1"/>
  <c r="J25" i="1"/>
  <c r="I25" i="1"/>
  <c r="C25" i="1" s="1"/>
  <c r="H25" i="1"/>
  <c r="G25" i="1"/>
  <c r="F25" i="1"/>
  <c r="E25" i="1"/>
  <c r="D25" i="1"/>
  <c r="C24" i="1"/>
  <c r="CU24" i="1" s="1"/>
  <c r="CT23" i="1"/>
  <c r="CQ23" i="1"/>
  <c r="CP23" i="1"/>
  <c r="CO23" i="1"/>
  <c r="CH23" i="1"/>
  <c r="CF23" i="1"/>
  <c r="CD23" i="1"/>
  <c r="CC23" i="1"/>
  <c r="C23" i="1"/>
  <c r="CG23" i="1" s="1"/>
  <c r="C22" i="1"/>
  <c r="CQ22" i="1" s="1"/>
  <c r="CC21" i="1"/>
  <c r="C21" i="1"/>
  <c r="CV21" i="1" s="1"/>
  <c r="CS20" i="1"/>
  <c r="CQ20" i="1"/>
  <c r="CP20" i="1"/>
  <c r="CO20" i="1"/>
  <c r="CH20" i="1"/>
  <c r="CE20" i="1"/>
  <c r="CD20" i="1"/>
  <c r="CC20" i="1"/>
  <c r="C20" i="1"/>
  <c r="CG20" i="1" s="1"/>
  <c r="C19" i="1"/>
  <c r="CQ19" i="1" s="1"/>
  <c r="CC18" i="1"/>
  <c r="C18" i="1"/>
  <c r="CV18" i="1" s="1"/>
  <c r="CS17" i="1"/>
  <c r="CQ17" i="1"/>
  <c r="CP17" i="1"/>
  <c r="CO17" i="1"/>
  <c r="CH17" i="1"/>
  <c r="CE17" i="1"/>
  <c r="CD17" i="1"/>
  <c r="CC17" i="1"/>
  <c r="C17" i="1"/>
  <c r="CG17" i="1" s="1"/>
  <c r="C16" i="1"/>
  <c r="CQ16" i="1" s="1"/>
  <c r="CC15" i="1"/>
  <c r="C15" i="1"/>
  <c r="CV15" i="1" s="1"/>
  <c r="CS14" i="1"/>
  <c r="CQ14" i="1"/>
  <c r="CP14" i="1"/>
  <c r="CO14" i="1"/>
  <c r="CH14" i="1"/>
  <c r="CE14" i="1"/>
  <c r="CD14" i="1"/>
  <c r="CC14" i="1"/>
  <c r="C14" i="1"/>
  <c r="CG14" i="1" s="1"/>
  <c r="C13" i="1"/>
  <c r="CQ13" i="1" s="1"/>
  <c r="CC12" i="1"/>
  <c r="C12" i="1"/>
  <c r="CV12" i="1" s="1"/>
  <c r="CS11" i="1"/>
  <c r="CQ11" i="1"/>
  <c r="CP11" i="1"/>
  <c r="CO11" i="1"/>
  <c r="CH11" i="1"/>
  <c r="CE11" i="1"/>
  <c r="CD11" i="1"/>
  <c r="CC11" i="1"/>
  <c r="C11" i="1"/>
  <c r="A172" i="1" s="1"/>
  <c r="L129" i="1" l="1"/>
  <c r="L135" i="1"/>
  <c r="L132" i="1"/>
  <c r="L131" i="1"/>
  <c r="L133" i="1"/>
  <c r="L136" i="1"/>
  <c r="L128" i="1"/>
  <c r="L134" i="1"/>
  <c r="L130" i="1"/>
  <c r="E60" i="1"/>
  <c r="E57" i="1"/>
  <c r="E58" i="1"/>
  <c r="E59" i="1"/>
  <c r="Y36" i="1"/>
  <c r="L138" i="1"/>
  <c r="G89" i="1"/>
  <c r="G86" i="1"/>
  <c r="G91" i="1"/>
  <c r="G85" i="1"/>
  <c r="G90" i="1"/>
  <c r="L49" i="1"/>
  <c r="L48" i="1"/>
  <c r="L52" i="1"/>
  <c r="L46" i="1"/>
  <c r="L44" i="1"/>
  <c r="L47" i="1"/>
  <c r="L51" i="1"/>
  <c r="L45" i="1"/>
  <c r="L50" i="1"/>
  <c r="K98" i="1"/>
  <c r="K102" i="1"/>
  <c r="K96" i="1"/>
  <c r="Y39" i="1"/>
  <c r="K100" i="1"/>
  <c r="CS16" i="1"/>
  <c r="CS22" i="1"/>
  <c r="CR27" i="1"/>
  <c r="CA19" i="1"/>
  <c r="CU19" i="1"/>
  <c r="CA22" i="1"/>
  <c r="CG12" i="1"/>
  <c r="CB13" i="1"/>
  <c r="CV13" i="1"/>
  <c r="CG15" i="1"/>
  <c r="CB16" i="1"/>
  <c r="CV16" i="1"/>
  <c r="CG18" i="1"/>
  <c r="CB19" i="1"/>
  <c r="CV19" i="1"/>
  <c r="CG21" i="1"/>
  <c r="CB22" i="1"/>
  <c r="CV22" i="1"/>
  <c r="CF24" i="1"/>
  <c r="CE26" i="1"/>
  <c r="CA27" i="1"/>
  <c r="CU27" i="1"/>
  <c r="CE29" i="1"/>
  <c r="CA30" i="1"/>
  <c r="CU30" i="1"/>
  <c r="CS35" i="1"/>
  <c r="CD37" i="1"/>
  <c r="CT38" i="1"/>
  <c r="CD40" i="1"/>
  <c r="CV69" i="1"/>
  <c r="CR19" i="1"/>
  <c r="CS13" i="1"/>
  <c r="CD18" i="1"/>
  <c r="CD21" i="1"/>
  <c r="CD24" i="1"/>
  <c r="CA16" i="1"/>
  <c r="CE18" i="1"/>
  <c r="CF21" i="1"/>
  <c r="CU22" i="1"/>
  <c r="CR38" i="1"/>
  <c r="CR11" i="1"/>
  <c r="CH12" i="1"/>
  <c r="CC13" i="1"/>
  <c r="CR14" i="1"/>
  <c r="CH15" i="1"/>
  <c r="CC16" i="1"/>
  <c r="CR17" i="1"/>
  <c r="CH18" i="1"/>
  <c r="CC19" i="1"/>
  <c r="CR20" i="1"/>
  <c r="CH21" i="1"/>
  <c r="CC22" i="1"/>
  <c r="CR23" i="1"/>
  <c r="CG24" i="1"/>
  <c r="CG26" i="1"/>
  <c r="CB27" i="1"/>
  <c r="CV27" i="1"/>
  <c r="CQ28" i="1"/>
  <c r="CG29" i="1"/>
  <c r="CB30" i="1"/>
  <c r="CV30" i="1"/>
  <c r="CA35" i="1"/>
  <c r="CU35" i="1"/>
  <c r="CE37" i="1"/>
  <c r="CA38" i="1"/>
  <c r="CU38" i="1"/>
  <c r="CE40" i="1"/>
  <c r="CN97" i="1"/>
  <c r="CN99" i="1"/>
  <c r="CN101" i="1"/>
  <c r="CR13" i="1"/>
  <c r="CR16" i="1"/>
  <c r="CS19" i="1"/>
  <c r="CV24" i="1"/>
  <c r="CE15" i="1"/>
  <c r="CE24" i="1"/>
  <c r="CO12" i="1"/>
  <c r="CD13" i="1"/>
  <c r="CO15" i="1"/>
  <c r="CD16" i="1"/>
  <c r="CO18" i="1"/>
  <c r="CD19" i="1"/>
  <c r="CO21" i="1"/>
  <c r="CD22" i="1"/>
  <c r="CH24" i="1"/>
  <c r="CH26" i="1"/>
  <c r="CC27" i="1"/>
  <c r="CR28" i="1"/>
  <c r="CH29" i="1"/>
  <c r="CC30" i="1"/>
  <c r="CV35" i="1"/>
  <c r="CG37" i="1"/>
  <c r="CB38" i="1"/>
  <c r="CV38" i="1"/>
  <c r="CG40" i="1"/>
  <c r="C61" i="1"/>
  <c r="CR22" i="1"/>
  <c r="CC24" i="1"/>
  <c r="CD12" i="1"/>
  <c r="CD15" i="1"/>
  <c r="CR30" i="1"/>
  <c r="CE12" i="1"/>
  <c r="CA13" i="1"/>
  <c r="CU13" i="1"/>
  <c r="CU16" i="1"/>
  <c r="CS27" i="1"/>
  <c r="CA11" i="1"/>
  <c r="Y11" i="1" s="1"/>
  <c r="CU11" i="1"/>
  <c r="CP12" i="1"/>
  <c r="CE13" i="1"/>
  <c r="CA14" i="1"/>
  <c r="CU14" i="1"/>
  <c r="CP15" i="1"/>
  <c r="CE16" i="1"/>
  <c r="CA17" i="1"/>
  <c r="CU17" i="1"/>
  <c r="CP18" i="1"/>
  <c r="CE19" i="1"/>
  <c r="CA20" i="1"/>
  <c r="Y20" i="1" s="1"/>
  <c r="CU20" i="1"/>
  <c r="CP21" i="1"/>
  <c r="CE22" i="1"/>
  <c r="CA23" i="1"/>
  <c r="CU23" i="1"/>
  <c r="CO24" i="1"/>
  <c r="CO26" i="1"/>
  <c r="CD27" i="1"/>
  <c r="CS28" i="1"/>
  <c r="CO29" i="1"/>
  <c r="CD30" i="1"/>
  <c r="CH37" i="1"/>
  <c r="CC38" i="1"/>
  <c r="CR39" i="1"/>
  <c r="CH40" i="1"/>
  <c r="CA77" i="1"/>
  <c r="CD26" i="1"/>
  <c r="CD29" i="1"/>
  <c r="CS30" i="1"/>
  <c r="CR35" i="1"/>
  <c r="CB11" i="1"/>
  <c r="CV11" i="1"/>
  <c r="CQ12" i="1"/>
  <c r="CG13" i="1"/>
  <c r="CB14" i="1"/>
  <c r="CV14" i="1"/>
  <c r="CQ15" i="1"/>
  <c r="CG16" i="1"/>
  <c r="CB17" i="1"/>
  <c r="CV17" i="1"/>
  <c r="CQ18" i="1"/>
  <c r="CG19" i="1"/>
  <c r="CB20" i="1"/>
  <c r="CV20" i="1"/>
  <c r="CQ21" i="1"/>
  <c r="CG22" i="1"/>
  <c r="CB23" i="1"/>
  <c r="CV23" i="1"/>
  <c r="CP24" i="1"/>
  <c r="CP26" i="1"/>
  <c r="CE27" i="1"/>
  <c r="CA28" i="1"/>
  <c r="Y28" i="1" s="1"/>
  <c r="CU28" i="1"/>
  <c r="CP29" i="1"/>
  <c r="CE30" i="1"/>
  <c r="CA31" i="1"/>
  <c r="Y31" i="1" s="1"/>
  <c r="CD35" i="1"/>
  <c r="CO37" i="1"/>
  <c r="CD38" i="1"/>
  <c r="CO40" i="1"/>
  <c r="CN69" i="1"/>
  <c r="CO69" i="1"/>
  <c r="CR12" i="1"/>
  <c r="CR21" i="1"/>
  <c r="CQ24" i="1"/>
  <c r="CO13" i="1"/>
  <c r="CS15" i="1"/>
  <c r="CR24" i="1"/>
  <c r="CH16" i="1"/>
  <c r="CR18" i="1"/>
  <c r="CS12" i="1"/>
  <c r="CT21" i="1"/>
  <c r="CO22" i="1"/>
  <c r="CR26" i="1"/>
  <c r="CH27" i="1"/>
  <c r="CH30" i="1"/>
  <c r="CA12" i="1"/>
  <c r="CU12" i="1"/>
  <c r="CP13" i="1"/>
  <c r="CA15" i="1"/>
  <c r="CU15" i="1"/>
  <c r="CP16" i="1"/>
  <c r="CA18" i="1"/>
  <c r="CU18" i="1"/>
  <c r="CP19" i="1"/>
  <c r="CA21" i="1"/>
  <c r="Y21" i="1" s="1"/>
  <c r="CU21" i="1"/>
  <c r="CP22" i="1"/>
  <c r="CA24" i="1"/>
  <c r="CS24" i="1"/>
  <c r="CS26" i="1"/>
  <c r="CO27" i="1"/>
  <c r="CS29" i="1"/>
  <c r="CO30" i="1"/>
  <c r="CH35" i="1"/>
  <c r="CR37" i="1"/>
  <c r="CH38" i="1"/>
  <c r="CR40" i="1"/>
  <c r="CA69" i="1"/>
  <c r="M69" i="1" s="1"/>
  <c r="CA79" i="1"/>
  <c r="CH13" i="1"/>
  <c r="CR15" i="1"/>
  <c r="CH19" i="1"/>
  <c r="CH22" i="1"/>
  <c r="CO16" i="1"/>
  <c r="CS18" i="1"/>
  <c r="CO19" i="1"/>
  <c r="CR29" i="1"/>
  <c r="CG11" i="1"/>
  <c r="CB12" i="1"/>
  <c r="CB15" i="1"/>
  <c r="CB18" i="1"/>
  <c r="CB21" i="1"/>
  <c r="CB24" i="1"/>
  <c r="CT24" i="1"/>
  <c r="CA26" i="1"/>
  <c r="CA29" i="1"/>
  <c r="Y40" i="1" l="1"/>
  <c r="Y37" i="1"/>
  <c r="A173" i="1"/>
  <c r="Y19" i="1"/>
  <c r="Y23" i="1"/>
  <c r="Y14" i="1"/>
  <c r="Y35" i="1"/>
  <c r="Y18" i="1"/>
  <c r="Y16" i="1"/>
  <c r="Y30" i="1"/>
  <c r="Y29" i="1"/>
  <c r="Y26" i="1"/>
  <c r="Y15" i="1"/>
  <c r="Y27" i="1"/>
  <c r="Y17" i="1"/>
  <c r="Y13" i="1"/>
  <c r="Y12" i="1"/>
  <c r="Y22" i="1"/>
  <c r="Y24" i="1"/>
  <c r="Y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fmenares</author>
    <author>Nicole Cisternas</author>
    <author>Ramon Lopez Arias</author>
    <author>Camila Puebla</author>
    <author>Miguel Figueroa Fuentes</author>
  </authors>
  <commentList>
    <comment ref="Q9" authorId="0" shapeId="0" xr:uid="{3A72CC99-570C-42E5-BF91-6F65469CBD0B}">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R9" authorId="1" shapeId="0" xr:uid="{F071D89D-F2D9-446C-85BD-2AF281E1EBEB}">
      <text>
        <r>
          <rPr>
            <sz val="9"/>
            <color indexed="81"/>
            <rFont val="Tahoma"/>
            <family val="2"/>
          </rPr>
          <t xml:space="preserve">Se contabilizara a los pacientes que tengan en  Antecedentes del usuario APS / Pestaña "Identificacion"  Item  Alertas Adm.  </t>
        </r>
        <r>
          <rPr>
            <b/>
            <sz val="9"/>
            <color indexed="81"/>
            <rFont val="Tahoma"/>
            <family val="2"/>
          </rPr>
          <t>"MIGRANTES"</t>
        </r>
        <r>
          <rPr>
            <sz val="9"/>
            <color indexed="81"/>
            <rFont val="Tahoma"/>
            <family val="2"/>
          </rPr>
          <t xml:space="preserve">
</t>
        </r>
      </text>
    </comment>
    <comment ref="U9" authorId="2" shapeId="0" xr:uid="{1F974F62-925F-42F6-AF81-416530581819}">
      <text>
        <r>
          <rPr>
            <sz val="9"/>
            <color indexed="81"/>
            <rFont val="Tahoma"/>
            <family val="2"/>
          </rPr>
          <t xml:space="preserve">Se contabilizará a los usuarios que tengan registrado desde Box o desde el módulo Inscripción en el campo Identidad de género;
</t>
        </r>
        <r>
          <rPr>
            <b/>
            <sz val="9"/>
            <color indexed="81"/>
            <rFont val="Tahoma"/>
            <family val="2"/>
          </rPr>
          <t>-Trans masculino
-Trans femenina
-No Binarie</t>
        </r>
      </text>
    </comment>
    <comment ref="X9" authorId="3" shapeId="0" xr:uid="{6C7FFDBE-E347-4072-9886-1BDD60C03708}">
      <text>
        <r>
          <rPr>
            <sz val="9"/>
            <color indexed="81"/>
            <rFont val="Tahoma"/>
            <family val="2"/>
          </rPr>
          <t xml:space="preserve">Contabilizará pacientes con Discapacidad registrada desde el Módulo </t>
        </r>
        <r>
          <rPr>
            <b/>
            <sz val="9"/>
            <color indexed="81"/>
            <rFont val="Tahoma"/>
            <family val="2"/>
          </rPr>
          <t>Admisión - Inscripción o BOX</t>
        </r>
        <r>
          <rPr>
            <sz val="9"/>
            <color indexed="81"/>
            <rFont val="Tahoma"/>
            <family val="2"/>
          </rPr>
          <t>.</t>
        </r>
      </text>
    </comment>
    <comment ref="A11" authorId="4" shapeId="0" xr:uid="{38CC8253-19C1-4C82-B916-ACAA30D5CAD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t>
        </r>
        <r>
          <rPr>
            <b/>
            <sz val="9"/>
            <color indexed="81"/>
            <rFont val="Tahoma"/>
            <family val="2"/>
          </rPr>
          <t>el ciclo vital</t>
        </r>
        <r>
          <rPr>
            <sz val="9"/>
            <color indexed="81"/>
            <rFont val="Tahoma"/>
            <family val="2"/>
          </rPr>
          <t xml:space="preserve"> de la atencion o en el anamnesis </t>
        </r>
        <r>
          <rPr>
            <b/>
            <sz val="9"/>
            <color indexed="81"/>
            <rFont val="Tahoma"/>
            <family val="2"/>
          </rPr>
          <t xml:space="preserve">el ciclo vital </t>
        </r>
        <r>
          <rPr>
            <sz val="9"/>
            <color indexed="81"/>
            <rFont val="Tahoma"/>
            <family val="2"/>
          </rPr>
          <t xml:space="preserve">ó </t>
        </r>
        <r>
          <rPr>
            <b/>
            <sz val="9"/>
            <color indexed="81"/>
            <rFont val="Tahoma"/>
            <family val="2"/>
          </rPr>
          <t xml:space="preserve">etapa </t>
        </r>
        <r>
          <rPr>
            <sz val="9"/>
            <color indexed="81"/>
            <rFont val="Tahoma"/>
            <family val="2"/>
          </rPr>
          <t>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DIU T de Cobre</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1" authorId="4" shapeId="0" xr:uid="{8F69201E-C2AB-4C2F-AAD2-16BE53A4F13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t>
        </r>
        <r>
          <rPr>
            <b/>
            <sz val="9"/>
            <color indexed="81"/>
            <rFont val="Tahoma"/>
            <family val="2"/>
          </rPr>
          <t>el ciclo vital</t>
        </r>
        <r>
          <rPr>
            <sz val="9"/>
            <color indexed="81"/>
            <rFont val="Tahoma"/>
            <family val="2"/>
          </rPr>
          <t xml:space="preserve"> de la atencion o en el anamnesis </t>
        </r>
        <r>
          <rPr>
            <b/>
            <sz val="9"/>
            <color indexed="81"/>
            <rFont val="Tahoma"/>
            <family val="2"/>
          </rPr>
          <t xml:space="preserve">el ciclo vital </t>
        </r>
        <r>
          <rPr>
            <sz val="9"/>
            <color indexed="81"/>
            <rFont val="Tahoma"/>
            <family val="2"/>
          </rPr>
          <t xml:space="preserve">ó </t>
        </r>
        <r>
          <rPr>
            <b/>
            <sz val="9"/>
            <color indexed="81"/>
            <rFont val="Tahoma"/>
            <family val="2"/>
          </rPr>
          <t xml:space="preserve">etapa </t>
        </r>
        <r>
          <rPr>
            <sz val="9"/>
            <color indexed="81"/>
            <rFont val="Tahoma"/>
            <family val="2"/>
          </rPr>
          <t>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el valor </t>
        </r>
        <r>
          <rPr>
            <b/>
            <sz val="9"/>
            <color indexed="81"/>
            <rFont val="Tahoma"/>
            <family val="2"/>
          </rPr>
          <t>DIU T de Cobre</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 xml:space="preserve"> En el campo</t>
        </r>
        <r>
          <rPr>
            <b/>
            <sz val="9"/>
            <color indexed="81"/>
            <rFont val="Tahoma"/>
            <family val="2"/>
          </rPr>
          <t xml:space="preserve"> PV-VIH </t>
        </r>
        <r>
          <rPr>
            <sz val="9"/>
            <color indexed="81"/>
            <rFont val="Tahoma"/>
            <family val="2"/>
          </rPr>
          <t>con</t>
        </r>
        <r>
          <rPr>
            <b/>
            <sz val="9"/>
            <color indexed="81"/>
            <rFont val="Tahoma"/>
            <family val="2"/>
          </rPr>
          <t xml:space="preserve"> </t>
        </r>
        <r>
          <rPr>
            <sz val="9"/>
            <color indexed="81"/>
            <rFont val="Tahoma"/>
            <family val="2"/>
          </rPr>
          <t xml:space="preserve">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2" authorId="4" shapeId="0" xr:uid="{D84924F6-8800-4E24-921F-C9C592CB6DC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DIU con Levonorgestrel</t>
        </r>
        <r>
          <rPr>
            <sz val="9"/>
            <color indexed="81"/>
            <rFont val="Tahoma"/>
            <family val="2"/>
          </rPr>
          <t xml:space="preserve"> ó </t>
        </r>
        <r>
          <rPr>
            <b/>
            <sz val="9"/>
            <color indexed="81"/>
            <rFont val="Tahoma"/>
            <family val="2"/>
          </rPr>
          <t>Diu Medicado</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2" authorId="4" shapeId="0" xr:uid="{509CA183-B72B-4512-B1AD-11FAC83E9A0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DIU con Levonorgestrel</t>
        </r>
        <r>
          <rPr>
            <sz val="9"/>
            <color indexed="81"/>
            <rFont val="Tahoma"/>
            <family val="2"/>
          </rPr>
          <t xml:space="preserve"> ó </t>
        </r>
        <r>
          <rPr>
            <b/>
            <sz val="9"/>
            <color indexed="81"/>
            <rFont val="Tahoma"/>
            <family val="2"/>
          </rPr>
          <t>Diu Medicado</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3" authorId="4" shapeId="0" xr:uid="{33531066-7588-472B-8F04-77DAF455B4F2}">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1.- En la atención agregar el</t>
        </r>
        <r>
          <rPr>
            <b/>
            <sz val="9"/>
            <color indexed="81"/>
            <rFont val="Tahoma"/>
            <family val="2"/>
          </rPr>
          <t xml:space="preserve"> 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Oral Combinado</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3" authorId="4" shapeId="0" xr:uid="{14CC9E88-DD9B-4C79-BC53-620A5E6F3A1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1.- En la atención agregar el</t>
        </r>
        <r>
          <rPr>
            <b/>
            <sz val="9"/>
            <color indexed="81"/>
            <rFont val="Tahoma"/>
            <family val="2"/>
          </rPr>
          <t xml:space="preserve"> 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Oral Combinado</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4" authorId="4" shapeId="0" xr:uid="{A21DCABA-3EBD-4A64-AB30-A7030F921468}">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Progestágenos Puros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4" authorId="4" shapeId="0" xr:uid="{1BDD100D-B74C-4CFD-87D0-8A260986996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Progestágenos Puros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5" authorId="4" shapeId="0" xr:uid="{AC763C0D-4D3A-461C-858F-C558DAD8135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Inyectable Combinado Mensual</t>
        </r>
        <r>
          <rPr>
            <sz val="9"/>
            <color indexed="81"/>
            <rFont val="Tahoma"/>
            <family val="2"/>
          </rPr>
          <t xml:space="preserve">,
                                                                                                                                                           </t>
        </r>
        <r>
          <rPr>
            <b/>
            <sz val="9"/>
            <color indexed="81"/>
            <rFont val="Tahoma"/>
            <family val="2"/>
          </rPr>
          <t>Inyectable Combinado Trimestral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5" authorId="4" shapeId="0" xr:uid="{5332D225-3BE3-441E-B5FC-1BB7D7B9342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Inyectable Combinado Mensual</t>
        </r>
        <r>
          <rPr>
            <sz val="9"/>
            <color indexed="81"/>
            <rFont val="Tahoma"/>
            <family val="2"/>
          </rPr>
          <t xml:space="preserve">,
                                                                                                                                                           </t>
        </r>
        <r>
          <rPr>
            <b/>
            <sz val="9"/>
            <color indexed="81"/>
            <rFont val="Tahoma"/>
            <family val="2"/>
          </rPr>
          <t>Inyectable Combinado Trimestral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6" authorId="4" shapeId="0" xr:uid="{92A72237-A6E4-4F8C-BAEB-26255C360E0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sz val="9"/>
            <color indexed="81"/>
            <rFont val="Tahoma"/>
            <family val="2"/>
          </rPr>
          <t xml:space="preserve">
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Inyectable Progestágeno Mensual,
</t>
        </r>
        <r>
          <rPr>
            <sz val="9"/>
            <color indexed="81"/>
            <rFont val="Tahoma"/>
            <family val="2"/>
          </rPr>
          <t xml:space="preserve">                                                                                                                                                           </t>
        </r>
        <r>
          <rPr>
            <b/>
            <sz val="9"/>
            <color indexed="81"/>
            <rFont val="Tahoma"/>
            <family val="2"/>
          </rPr>
          <t>Inyectable Progestágeno Trimestral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6" authorId="4" shapeId="0" xr:uid="{E916E659-153E-47F4-9943-25245343A81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
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Inyectable Progestágeno Mensual,
</t>
        </r>
        <r>
          <rPr>
            <sz val="9"/>
            <color indexed="81"/>
            <rFont val="Tahoma"/>
            <family val="2"/>
          </rPr>
          <t xml:space="preserve">                                                                                                                                                           </t>
        </r>
        <r>
          <rPr>
            <b/>
            <sz val="9"/>
            <color indexed="81"/>
            <rFont val="Tahoma"/>
            <family val="2"/>
          </rPr>
          <t>Inyectable Progestágeno Trimestral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7" authorId="4" shapeId="0" xr:uid="{1FA0AAB1-231E-46A0-BD59-97D6CC65032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Implante Etonogestrel ó Implante</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7" authorId="4" shapeId="0" xr:uid="{1B060DB2-384B-4D9C-8A56-2F03701DACA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Implante Etonogestrel ó Implante</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 xml:space="preserve"> 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8" authorId="4" shapeId="0" xr:uid="{6FDA5513-2930-4CDF-B930-A805E1D4304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sz val="9"/>
            <color indexed="81"/>
            <rFont val="Tahoma"/>
            <family val="2"/>
          </rPr>
          <t xml:space="preserve">
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Implante Levonorgestrel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8" authorId="4" shapeId="0" xr:uid="{377B16E5-BB81-4E9A-863F-3D2A6E949842}">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sz val="9"/>
            <color indexed="81"/>
            <rFont val="Tahoma"/>
            <family val="2"/>
          </rPr>
          <t xml:space="preserve">
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Implante Levonorgestrel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19" authorId="4" shapeId="0" xr:uid="{2602560B-4A8D-44C7-B469-E70E54A79A9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Anillo Vaginal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19" authorId="4" shapeId="0" xr:uid="{59C0E6E3-3A1A-4D47-8930-BDD5CC91D6CC}">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El registro debe ser realizado para los usuarios de sexo</t>
        </r>
        <r>
          <rPr>
            <b/>
            <sz val="9"/>
            <color indexed="81"/>
            <rFont val="Tahoma"/>
            <family val="2"/>
          </rPr>
          <t xml:space="preserve"> 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Anillo Vaginal</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20" authorId="4" shapeId="0" xr:uid="{7005DB20-9840-434A-B182-AF66F6F6AB4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Preservativos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20" authorId="4" shapeId="0" xr:uid="{6B260649-6D61-4EED-AF7D-8E0BA2C2D08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Preservativos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 xml:space="preserve"> 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21" authorId="4" shapeId="0" xr:uid="{0F294F30-3FF1-4BD8-8C5D-3614573F029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Preservativos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21" authorId="4" shapeId="0" xr:uid="{DA758AC9-B094-485A-B511-6CEA143F3C5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 ó 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Preservativos</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22" authorId="4" shapeId="0" xr:uid="{CEC86A83-215B-42B3-BD9E-820DB154BD2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Esterilización Quirúrgica</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22" authorId="4" shapeId="0" xr:uid="{F8FD7F76-F9EE-4376-ABED-61F5EE0AF18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Esterilización Quirúrgica</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B23" authorId="4" shapeId="0" xr:uid="{07BC0576-E901-4B43-9F9D-9D361CEF800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t>
        </r>
        <r>
          <rPr>
            <sz val="9"/>
            <color indexed="81"/>
            <rFont val="Tahoma"/>
            <family val="2"/>
          </rPr>
          <t xml:space="preserve">,
</t>
        </r>
        <r>
          <rPr>
            <b/>
            <sz val="9"/>
            <color indexed="81"/>
            <rFont val="Tahoma"/>
            <family val="2"/>
          </rPr>
          <t xml:space="preserv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Esterilización Quirúrgica</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T23" authorId="4" shapeId="0" xr:uid="{9D84523A-9695-4182-8FB6-BF1A8347F5C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t>
        </r>
        <r>
          <rPr>
            <sz val="9"/>
            <color indexed="81"/>
            <rFont val="Tahoma"/>
            <family val="2"/>
          </rPr>
          <t xml:space="preserve">,
</t>
        </r>
        <r>
          <rPr>
            <b/>
            <sz val="9"/>
            <color indexed="81"/>
            <rFont val="Tahoma"/>
            <family val="2"/>
          </rPr>
          <t xml:space="preserv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el valor </t>
        </r>
        <r>
          <rPr>
            <b/>
            <sz val="9"/>
            <color indexed="81"/>
            <rFont val="Tahoma"/>
            <family val="2"/>
          </rPr>
          <t>Esterilización Quirúrgica</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 xml:space="preserve">En el campo </t>
        </r>
        <r>
          <rPr>
            <b/>
            <sz val="9"/>
            <color indexed="81"/>
            <rFont val="Tahoma"/>
            <family val="2"/>
          </rPr>
          <t xml:space="preserve">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r>
          <rPr>
            <b/>
            <sz val="9"/>
            <color indexed="81"/>
            <rFont val="Tahoma"/>
            <family val="2"/>
          </rPr>
          <t xml:space="preserve">
</t>
        </r>
      </text>
    </comment>
    <comment ref="A26" authorId="4" shapeId="0" xr:uid="{ADFB6F7F-B9EE-4D8B-B545-EEB568438A3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3.- Ingresar el Formulario </t>
        </r>
        <r>
          <rPr>
            <b/>
            <sz val="9"/>
            <color indexed="81"/>
            <rFont val="Tahoma"/>
            <family val="2"/>
          </rPr>
          <t>Nuevo Control cardiovascular</t>
        </r>
        <r>
          <rPr>
            <sz val="9"/>
            <color indexed="81"/>
            <rFont val="Tahoma"/>
            <family val="2"/>
          </rPr>
          <t xml:space="preserve"> se registre:
        * En la sección </t>
        </r>
        <r>
          <rPr>
            <b/>
            <sz val="9"/>
            <color indexed="81"/>
            <rFont val="Tahoma"/>
            <family val="2"/>
          </rPr>
          <t>3.- PATOLOGÍAS / ANTECEDENTES MÓRBIDOS  * (Por Atención) --&gt; Patologías Crónico * (Por Atención)
                                                                                                                                                            -</t>
        </r>
        <r>
          <rPr>
            <sz val="9"/>
            <color indexed="81"/>
            <rFont val="Tahoma"/>
            <family val="2"/>
          </rPr>
          <t xml:space="preserve"> En el campo</t>
        </r>
        <r>
          <rPr>
            <b/>
            <sz val="9"/>
            <color indexed="81"/>
            <rFont val="Tahoma"/>
            <family val="2"/>
          </rPr>
          <t xml:space="preserve"> Tiene Hipertensión Arterial  *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ó
                                                                                                                                                            - </t>
        </r>
        <r>
          <rPr>
            <sz val="9"/>
            <color indexed="81"/>
            <rFont val="Tahoma"/>
            <family val="2"/>
          </rPr>
          <t>En el campo</t>
        </r>
        <r>
          <rPr>
            <b/>
            <sz val="9"/>
            <color indexed="81"/>
            <rFont val="Tahoma"/>
            <family val="2"/>
          </rPr>
          <t xml:space="preserve"> Tiene Diabetes Mellitus 2  *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 </t>
        </r>
        <r>
          <rPr>
            <sz val="9"/>
            <color indexed="81"/>
            <rFont val="Tahoma"/>
            <family val="2"/>
          </rPr>
          <t xml:space="preserve">En la sección </t>
        </r>
        <r>
          <rPr>
            <b/>
            <sz val="9"/>
            <color indexed="81"/>
            <rFont val="Tahoma"/>
            <family val="2"/>
          </rPr>
          <t xml:space="preserve">13.- PRÓXIMO CONTROL * (Por Atención) - </t>
        </r>
        <r>
          <rPr>
            <sz val="9"/>
            <color indexed="81"/>
            <rFont val="Tahoma"/>
            <family val="2"/>
          </rPr>
          <t>En el campo</t>
        </r>
        <r>
          <rPr>
            <b/>
            <sz val="9"/>
            <color indexed="81"/>
            <rFont val="Tahoma"/>
            <family val="2"/>
          </rPr>
          <t xml:space="preserve"> Fecha Próximo Control    * </t>
        </r>
        <r>
          <rPr>
            <sz val="9"/>
            <color indexed="81"/>
            <rFont val="Tahoma"/>
            <family val="2"/>
          </rPr>
          <t>tener un valor mayor a la atención</t>
        </r>
      </text>
    </comment>
    <comment ref="T26" authorId="4" shapeId="0" xr:uid="{D8C169A0-336F-4233-8A6D-655C918F6E7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3.- Ingresar el Formulario </t>
        </r>
        <r>
          <rPr>
            <b/>
            <sz val="9"/>
            <color indexed="81"/>
            <rFont val="Tahoma"/>
            <family val="2"/>
          </rPr>
          <t>Nuevo Control cardiovascular</t>
        </r>
        <r>
          <rPr>
            <sz val="9"/>
            <color indexed="81"/>
            <rFont val="Tahoma"/>
            <family val="2"/>
          </rPr>
          <t xml:space="preserve"> se registre:
        * En la sección </t>
        </r>
        <r>
          <rPr>
            <b/>
            <sz val="9"/>
            <color indexed="81"/>
            <rFont val="Tahoma"/>
            <family val="2"/>
          </rPr>
          <t>3.- PATOLOGÍAS / ANTECEDENTES MÓRBIDOS  * (Por Atención) --&gt; Patologías Crónico * (Por Atención)
                                                                                                                                                            -</t>
        </r>
        <r>
          <rPr>
            <sz val="9"/>
            <color indexed="81"/>
            <rFont val="Tahoma"/>
            <family val="2"/>
          </rPr>
          <t xml:space="preserve"> En el campo</t>
        </r>
        <r>
          <rPr>
            <b/>
            <sz val="9"/>
            <color indexed="81"/>
            <rFont val="Tahoma"/>
            <family val="2"/>
          </rPr>
          <t xml:space="preserve"> Tiene Hipertensión Arterial  *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ó
                                                                                                                                                            - </t>
        </r>
        <r>
          <rPr>
            <sz val="9"/>
            <color indexed="81"/>
            <rFont val="Tahoma"/>
            <family val="2"/>
          </rPr>
          <t>En el campo</t>
        </r>
        <r>
          <rPr>
            <b/>
            <sz val="9"/>
            <color indexed="81"/>
            <rFont val="Tahoma"/>
            <family val="2"/>
          </rPr>
          <t xml:space="preserve"> Tiene Diabetes Mellitus 2  *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 </t>
        </r>
        <r>
          <rPr>
            <sz val="9"/>
            <color indexed="81"/>
            <rFont val="Tahoma"/>
            <family val="2"/>
          </rPr>
          <t xml:space="preserve">En la sección </t>
        </r>
        <r>
          <rPr>
            <b/>
            <sz val="9"/>
            <color indexed="81"/>
            <rFont val="Tahoma"/>
            <family val="2"/>
          </rPr>
          <t xml:space="preserve">13.- PRÓXIMO CONTROL * (Por Atención) - </t>
        </r>
        <r>
          <rPr>
            <sz val="9"/>
            <color indexed="81"/>
            <rFont val="Tahoma"/>
            <family val="2"/>
          </rPr>
          <t>En el campo</t>
        </r>
        <r>
          <rPr>
            <b/>
            <sz val="9"/>
            <color indexed="81"/>
            <rFont val="Tahoma"/>
            <family val="2"/>
          </rPr>
          <t xml:space="preserve"> Fecha Próximo Control    * </t>
        </r>
        <r>
          <rPr>
            <sz val="9"/>
            <color indexed="81"/>
            <rFont val="Tahoma"/>
            <family val="2"/>
          </rPr>
          <t>tener un valor mayor a la atención</t>
        </r>
      </text>
    </comment>
    <comment ref="B27" authorId="4" shapeId="0" xr:uid="{C4AA7FCE-78B8-41F2-9F35-508D70F7B619}">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Etonogestrel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No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T27" authorId="4" shapeId="0" xr:uid="{A8DF4CE5-DF93-4375-B2D6-6995B8906F5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Etonogestrel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No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B28" authorId="4" shapeId="0" xr:uid="{00BB6D36-C8AB-4DBE-9C38-649E210E74E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Etonogestrel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text>
    </comment>
    <comment ref="T28" authorId="4" shapeId="0" xr:uid="{4D502D58-751E-4977-9B80-F9468553FB0C}">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t>
        </r>
        <r>
          <rPr>
            <b/>
            <sz val="9"/>
            <color indexed="81"/>
            <rFont val="Tahoma"/>
            <family val="2"/>
          </rPr>
          <t xml:space="preserve"> 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Etonogestrel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text>
    </comment>
    <comment ref="B29" authorId="4" shapeId="0" xr:uid="{E2664719-FB03-49F5-9C0D-E3224ACB8738}">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Levonorgestrel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No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T29" authorId="4" shapeId="0" xr:uid="{4E07A73B-2825-41FF-A142-2B33C5123CB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Levonorgestrel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No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B30" authorId="4" shapeId="0" xr:uid="{3D24648F-BB1F-44E9-BB08-143841F541D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Levonorgestrel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T30" authorId="4" shapeId="0" xr:uid="{BA9120CA-2169-4643-B9A8-7C5765268A4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valor </t>
        </r>
        <r>
          <rPr>
            <b/>
            <sz val="9"/>
            <color indexed="81"/>
            <rFont val="Tahoma"/>
            <family val="2"/>
          </rPr>
          <t xml:space="preserve">Implante Levonorgestrel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  </t>
        </r>
        <r>
          <rPr>
            <sz val="9"/>
            <color indexed="81"/>
            <rFont val="Tahoma"/>
            <family val="2"/>
          </rPr>
          <t>En el campo</t>
        </r>
        <r>
          <rPr>
            <b/>
            <sz val="9"/>
            <color indexed="81"/>
            <rFont val="Tahoma"/>
            <family val="2"/>
          </rPr>
          <t xml:space="preserve"> ¿Retiro Anticipado de Implante? </t>
        </r>
        <r>
          <rPr>
            <sz val="9"/>
            <color indexed="81"/>
            <rFont val="Tahoma"/>
            <family val="2"/>
          </rPr>
          <t>con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¿En Extrasistema?  </t>
        </r>
        <r>
          <rPr>
            <sz val="9"/>
            <color indexed="81"/>
            <rFont val="Tahoma"/>
            <family val="2"/>
          </rPr>
          <t>con valor</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A31" authorId="4" shapeId="0" xr:uid="{96CA856D-A6F2-40BB-ABE5-D539D1DB318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el campo</t>
        </r>
        <r>
          <rPr>
            <b/>
            <sz val="9"/>
            <color indexed="81"/>
            <rFont val="Tahoma"/>
            <family val="2"/>
          </rPr>
          <t xml:space="preserve"> ¿Regulación de Fertilidad más Preservativo?  </t>
        </r>
        <r>
          <rPr>
            <sz val="9"/>
            <color indexed="81"/>
            <rFont val="Tahoma"/>
            <family val="2"/>
          </rPr>
          <t xml:space="preserve">con  valor </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T31" authorId="4" shapeId="0" xr:uid="{DAAE4D84-B52A-431C-80FD-05AFFC29954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el campo</t>
        </r>
        <r>
          <rPr>
            <b/>
            <sz val="9"/>
            <color indexed="81"/>
            <rFont val="Tahoma"/>
            <family val="2"/>
          </rPr>
          <t xml:space="preserve"> ¿Regulación de Fertilidad más Preservativo?  </t>
        </r>
        <r>
          <rPr>
            <sz val="9"/>
            <color indexed="81"/>
            <rFont val="Tahoma"/>
            <family val="2"/>
          </rPr>
          <t xml:space="preserve">con  valor </t>
        </r>
        <r>
          <rPr>
            <b/>
            <sz val="9"/>
            <color indexed="81"/>
            <rFont val="Tahoma"/>
            <family val="2"/>
          </rPr>
          <t xml:space="preserve"> Si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Bajo Peso,      
                                                                                                                                                                 Normal                                                                                                        </t>
        </r>
        <r>
          <rPr>
            <sz val="9"/>
            <color indexed="81"/>
            <rFont val="Tahoma"/>
            <family val="2"/>
          </rPr>
          <t xml:space="preserve">
</t>
        </r>
      </text>
    </comment>
    <comment ref="Q33" authorId="0" shapeId="0" xr:uid="{0FF97129-F248-4873-9DCC-439A6ED2A9A9}">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R33" authorId="1" shapeId="0" xr:uid="{C3B64004-494A-44AF-98C9-5759989BB849}">
      <text>
        <r>
          <rPr>
            <sz val="9"/>
            <color indexed="81"/>
            <rFont val="Tahoma"/>
            <charset val="1"/>
          </rPr>
          <t xml:space="preserve">Se contabilizara a los pacientes que tengan en  Antecedentes del usuario APS / Pestaña "Identificacion"  Item  Alertas Adm.  </t>
        </r>
        <r>
          <rPr>
            <b/>
            <sz val="9"/>
            <color indexed="81"/>
            <rFont val="Tahoma"/>
            <family val="2"/>
          </rPr>
          <t>"MIGRANTES"</t>
        </r>
        <r>
          <rPr>
            <sz val="9"/>
            <color indexed="81"/>
            <rFont val="Tahoma"/>
            <charset val="1"/>
          </rPr>
          <t xml:space="preserve">
</t>
        </r>
      </text>
    </comment>
    <comment ref="U33" authorId="2" shapeId="0" xr:uid="{20D52B68-1DA0-486F-994D-F4AE5E1234EB}">
      <text>
        <r>
          <rPr>
            <sz val="9"/>
            <color indexed="81"/>
            <rFont val="Tahoma"/>
            <family val="2"/>
          </rPr>
          <t xml:space="preserve">Se contabilizará a los usuarios que tengan registrado desde Box o desde el módulo Inscripción en el campo Identidad de género;
</t>
        </r>
        <r>
          <rPr>
            <b/>
            <sz val="9"/>
            <color indexed="81"/>
            <rFont val="Tahoma"/>
            <family val="2"/>
          </rPr>
          <t>-Trans masculino
-Trans femenina
-No Binarie</t>
        </r>
      </text>
    </comment>
    <comment ref="X33" authorId="3" shapeId="0" xr:uid="{850F8B39-FB6E-4C3C-8097-0276224DE1F0}">
      <text>
        <r>
          <rPr>
            <sz val="9"/>
            <color indexed="81"/>
            <rFont val="Tahoma"/>
            <family val="2"/>
          </rPr>
          <t xml:space="preserve">Contabilizará pacientes con Discapacidad registrada desde el Módulo </t>
        </r>
        <r>
          <rPr>
            <b/>
            <sz val="9"/>
            <color indexed="81"/>
            <rFont val="Tahoma"/>
            <family val="2"/>
          </rPr>
          <t>Admisión - Inscripción o BOX</t>
        </r>
        <r>
          <rPr>
            <sz val="9"/>
            <color indexed="81"/>
            <rFont val="Tahoma"/>
            <family val="2"/>
          </rPr>
          <t>.</t>
        </r>
      </text>
    </comment>
    <comment ref="B35" authorId="4" shapeId="0" xr:uid="{74B84A2D-E5E5-4203-98DB-E43B7741E55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¿Entrega de Preservativo?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T35" authorId="4" shapeId="0" xr:uid="{FD60F0D2-3CC1-4BAD-BE26-B75FF5F82FB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 xml:space="preserve">En el campo </t>
        </r>
        <r>
          <rPr>
            <b/>
            <sz val="9"/>
            <color indexed="81"/>
            <rFont val="Tahoma"/>
            <family val="2"/>
          </rPr>
          <t xml:space="preserve">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¿Entrega de Preservativo?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B36" authorId="4" shapeId="0" xr:uid="{C94EDEEE-017E-4AED-AB5A-FA3BF8F3C44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¿Entrega de Preservativo?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T36" authorId="4" shapeId="0" xr:uid="{9EECC916-F58C-4CF9-8286-902805CC5C39}">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 xml:space="preserve">En el campo </t>
        </r>
        <r>
          <rPr>
            <b/>
            <sz val="9"/>
            <color indexed="81"/>
            <rFont val="Tahoma"/>
            <family val="2"/>
          </rPr>
          <t xml:space="preserve">PV-VIH </t>
        </r>
        <r>
          <rPr>
            <sz val="9"/>
            <color indexed="81"/>
            <rFont val="Tahoma"/>
            <family val="2"/>
          </rPr>
          <t xml:space="preserve">con 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¿Entrega de Preservativo?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B37" authorId="4" shapeId="0" xr:uid="{09DD7723-9376-47BD-978C-1420396F964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¿Indicación de Lubricante?</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T37" authorId="4" shapeId="0" xr:uid="{2CEAF281-AE57-4C3A-8E42-8CF052FE4EE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¿Indicación de Lubricante?</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B38" authorId="4" shapeId="0" xr:uid="{BF2D4D0E-3DE3-4F1F-9E20-C848F316253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
                                                                                                                       -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¿Indicación de Lubricante?</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T38" authorId="4" shapeId="0" xr:uid="{4F51E253-C076-48D4-9E42-A1783112EEF2}">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Masculino ó Hombre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t>
        </r>
        <r>
          <rPr>
            <sz val="9"/>
            <color indexed="81"/>
            <rFont val="Tahoma"/>
            <family val="2"/>
          </rPr>
          <t xml:space="preserve"> con el valor</t>
        </r>
        <r>
          <rPr>
            <b/>
            <sz val="9"/>
            <color indexed="81"/>
            <rFont val="Tahoma"/>
            <family val="2"/>
          </rPr>
          <t xml:space="preserve"> 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¿Indicación de Lubricante?</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A39" authorId="4" shapeId="0" xr:uid="{46EE1A89-41F7-45D6-9D41-A07627CF3E7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Condón Femenino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T39" authorId="4" shapeId="0" xr:uid="{AD7256FF-C77F-4DE2-8432-D9542D4A225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Seguimiento 
                                                                                           -  </t>
        </r>
        <r>
          <rPr>
            <sz val="9"/>
            <color indexed="81"/>
            <rFont val="Tahoma"/>
            <family val="2"/>
          </rPr>
          <t>En el campo</t>
        </r>
        <r>
          <rPr>
            <b/>
            <sz val="9"/>
            <color indexed="81"/>
            <rFont val="Tahoma"/>
            <family val="2"/>
          </rPr>
          <t xml:space="preserve"> PV-VIH </t>
        </r>
        <r>
          <rPr>
            <sz val="9"/>
            <color indexed="81"/>
            <rFont val="Tahoma"/>
            <family val="2"/>
          </rPr>
          <t xml:space="preserve">con el valor </t>
        </r>
        <r>
          <rPr>
            <b/>
            <sz val="9"/>
            <color indexed="81"/>
            <rFont val="Tahoma"/>
            <family val="2"/>
          </rPr>
          <t xml:space="preserve">Si
        </t>
        </r>
        <r>
          <rPr>
            <sz val="9"/>
            <color indexed="81"/>
            <rFont val="Tahoma"/>
            <family val="2"/>
          </rPr>
          <t xml:space="preserve"> * En la sección </t>
        </r>
        <r>
          <rPr>
            <b/>
            <sz val="9"/>
            <color indexed="81"/>
            <rFont val="Tahoma"/>
            <family val="2"/>
          </rPr>
          <t xml:space="preserve">Regulación Fecundidad (Paternidad Responsable) (Por Atención) --&gt; Fecha del Próximo Control
         </t>
        </r>
        <r>
          <rPr>
            <sz val="9"/>
            <color indexed="81"/>
            <rFont val="Tahoma"/>
            <family val="2"/>
          </rPr>
          <t>* En la sección</t>
        </r>
        <r>
          <rPr>
            <b/>
            <sz val="9"/>
            <color indexed="81"/>
            <rFont val="Tahoma"/>
            <family val="2"/>
          </rPr>
          <t xml:space="preserve"> Práctica Sexual Segura (Por Atención) --&gt; Condón Femenino</t>
        </r>
        <r>
          <rPr>
            <sz val="9"/>
            <color indexed="81"/>
            <rFont val="Tahoma"/>
            <family val="2"/>
          </rPr>
          <t xml:space="preserve"> 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A40" authorId="4" shapeId="0" xr:uid="{F9B05790-B3C4-4ACA-BF27-A5B32CCC06E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
                                                                                                                        -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Embarazada primigesta, 
                                                                                                                                                                       Embarazada</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Resultados Control Prenatal (Por Atención)
                                                                                           - </t>
        </r>
        <r>
          <rPr>
            <sz val="9"/>
            <color indexed="81"/>
            <rFont val="Tahoma"/>
            <family val="2"/>
          </rPr>
          <t xml:space="preserve"> En el campo </t>
        </r>
        <r>
          <rPr>
            <b/>
            <sz val="9"/>
            <color indexed="81"/>
            <rFont val="Tahoma"/>
            <family val="2"/>
          </rPr>
          <t>Estado Nutricional</t>
        </r>
        <r>
          <rPr>
            <sz val="9"/>
            <color indexed="81"/>
            <rFont val="Tahoma"/>
            <family val="2"/>
          </rPr>
          <t xml:space="preserve"> con alguno de los valores </t>
        </r>
        <r>
          <rPr>
            <b/>
            <sz val="9"/>
            <color indexed="81"/>
            <rFont val="Tahoma"/>
            <family val="2"/>
          </rPr>
          <t xml:space="preserve">Desnutrición,
                                                                                                                                                                                Riesgo de Desnutrir,
                                                                                                                                                                                Normal o Eutrófico,
                                                                                                                                                                                Sobrepeso,
                                                                                                                                                                                Obesidad,
                                                                                                                                                                                Obesidad Severa
                                                                                            ó
                                                                                           -  </t>
        </r>
        <r>
          <rPr>
            <sz val="9"/>
            <color indexed="81"/>
            <rFont val="Tahoma"/>
            <family val="2"/>
          </rPr>
          <t xml:space="preserve">En el campo </t>
        </r>
        <r>
          <rPr>
            <b/>
            <sz val="9"/>
            <color indexed="81"/>
            <rFont val="Tahoma"/>
            <family val="2"/>
          </rPr>
          <t xml:space="preserve">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 xml:space="preserve"> -  En el campo</t>
        </r>
        <r>
          <rPr>
            <b/>
            <sz val="9"/>
            <color indexed="81"/>
            <rFont val="Tahoma"/>
            <family val="2"/>
          </rPr>
          <t xml:space="preserve"> Fecha del Próximo Control</t>
        </r>
        <r>
          <rPr>
            <sz val="9"/>
            <color indexed="81"/>
            <rFont val="Tahoma"/>
            <family val="2"/>
          </rPr>
          <t xml:space="preserve"> tener un valor </t>
        </r>
        <r>
          <rPr>
            <b/>
            <sz val="9"/>
            <color indexed="81"/>
            <rFont val="Tahoma"/>
            <family val="2"/>
          </rPr>
          <t xml:space="preserve">fecha aproximada de citación al programa, si luego de esta fecha transcurren 29 días el paciente quedara inasistente al control.
             </t>
        </r>
        <r>
          <rPr>
            <sz val="9"/>
            <color indexed="81"/>
            <rFont val="Tahoma"/>
            <family val="2"/>
          </rPr>
          <t>* En la sección</t>
        </r>
        <r>
          <rPr>
            <b/>
            <sz val="9"/>
            <color indexed="81"/>
            <rFont val="Tahoma"/>
            <family val="2"/>
          </rPr>
          <t xml:space="preserve"> Antecedentes del Padre (Largo Alcance) --&gt;
                                                                                           -  </t>
        </r>
        <r>
          <rPr>
            <sz val="9"/>
            <color indexed="81"/>
            <rFont val="Tahoma"/>
            <family val="2"/>
          </rPr>
          <t>En el campo</t>
        </r>
        <r>
          <rPr>
            <b/>
            <sz val="9"/>
            <color indexed="81"/>
            <rFont val="Tahoma"/>
            <family val="2"/>
          </rPr>
          <t xml:space="preserve"> ¿Utiliza Preservativo?  </t>
        </r>
        <r>
          <rPr>
            <sz val="9"/>
            <color indexed="81"/>
            <rFont val="Tahoma"/>
            <family val="2"/>
          </rPr>
          <t>con  valor</t>
        </r>
        <r>
          <rPr>
            <b/>
            <sz val="9"/>
            <color indexed="81"/>
            <rFont val="Tahoma"/>
            <family val="2"/>
          </rPr>
          <t xml:space="preserve">  Si 
         </t>
        </r>
        <r>
          <rPr>
            <sz val="9"/>
            <color indexed="81"/>
            <rFont val="Tahoma"/>
            <family val="2"/>
          </rPr>
          <t xml:space="preserve">
</t>
        </r>
        <r>
          <rPr>
            <b/>
            <sz val="9"/>
            <color indexed="81"/>
            <rFont val="Tahoma"/>
            <family val="2"/>
          </rPr>
          <t xml:space="preserve">
</t>
        </r>
        <r>
          <rPr>
            <sz val="9"/>
            <color indexed="81"/>
            <rFont val="Tahoma"/>
            <family val="2"/>
          </rPr>
          <t xml:space="preserve">
</t>
        </r>
      </text>
    </comment>
    <comment ref="T40" authorId="4" shapeId="0" xr:uid="{ADC832BF-2AB1-45A8-81DE-14F43AB698B9}">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Embarazada primigesta, 
                                                                                                                                                                       Embarazada</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Resultados Control Prenatal (Por Atención)
                                                                                           - </t>
        </r>
        <r>
          <rPr>
            <sz val="9"/>
            <color indexed="81"/>
            <rFont val="Tahoma"/>
            <family val="2"/>
          </rPr>
          <t xml:space="preserve"> En el campo </t>
        </r>
        <r>
          <rPr>
            <b/>
            <sz val="9"/>
            <color indexed="81"/>
            <rFont val="Tahoma"/>
            <family val="2"/>
          </rPr>
          <t>Estado Nutricional</t>
        </r>
        <r>
          <rPr>
            <sz val="9"/>
            <color indexed="81"/>
            <rFont val="Tahoma"/>
            <family val="2"/>
          </rPr>
          <t xml:space="preserve"> con alguno de los valores </t>
        </r>
        <r>
          <rPr>
            <b/>
            <sz val="9"/>
            <color indexed="81"/>
            <rFont val="Tahoma"/>
            <family val="2"/>
          </rPr>
          <t xml:space="preserve">Desnutrición,
                                                                                                                                                                                Riesgo de Desnutrir,
                                                                                                                                                                                Normal o Eutrófico,
                                                                                                                                                                                Sobrepeso,
                                                                                                                                                                                Obesidad,
                                                                                                                                                                                Obesidad Severa
                                                                                            ó
                                                                                           -  </t>
        </r>
        <r>
          <rPr>
            <sz val="9"/>
            <color indexed="81"/>
            <rFont val="Tahoma"/>
            <family val="2"/>
          </rPr>
          <t xml:space="preserve">En el campo </t>
        </r>
        <r>
          <rPr>
            <b/>
            <sz val="9"/>
            <color indexed="81"/>
            <rFont val="Tahoma"/>
            <family val="2"/>
          </rPr>
          <t xml:space="preserve">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 xml:space="preserve"> -  En el campo</t>
        </r>
        <r>
          <rPr>
            <b/>
            <sz val="9"/>
            <color indexed="81"/>
            <rFont val="Tahoma"/>
            <family val="2"/>
          </rPr>
          <t xml:space="preserve"> Fecha del Próximo Control</t>
        </r>
        <r>
          <rPr>
            <sz val="9"/>
            <color indexed="81"/>
            <rFont val="Tahoma"/>
            <family val="2"/>
          </rPr>
          <t xml:space="preserve"> tener un valor </t>
        </r>
        <r>
          <rPr>
            <b/>
            <sz val="9"/>
            <color indexed="81"/>
            <rFont val="Tahoma"/>
            <family val="2"/>
          </rPr>
          <t xml:space="preserve">mayor a la atención
             </t>
        </r>
        <r>
          <rPr>
            <sz val="9"/>
            <color indexed="81"/>
            <rFont val="Tahoma"/>
            <family val="2"/>
          </rPr>
          <t>* En la sección</t>
        </r>
        <r>
          <rPr>
            <b/>
            <sz val="9"/>
            <color indexed="81"/>
            <rFont val="Tahoma"/>
            <family val="2"/>
          </rPr>
          <t xml:space="preserve"> Antecedentes del Padre (Largo Alcance) --&gt;
                                                                                           -  </t>
        </r>
        <r>
          <rPr>
            <sz val="9"/>
            <color indexed="81"/>
            <rFont val="Tahoma"/>
            <family val="2"/>
          </rPr>
          <t>En el campo</t>
        </r>
        <r>
          <rPr>
            <b/>
            <sz val="9"/>
            <color indexed="81"/>
            <rFont val="Tahoma"/>
            <family val="2"/>
          </rPr>
          <t xml:space="preserve"> ¿Utiliza Preservativo?  </t>
        </r>
        <r>
          <rPr>
            <sz val="9"/>
            <color indexed="81"/>
            <rFont val="Tahoma"/>
            <family val="2"/>
          </rPr>
          <t>con  valor</t>
        </r>
        <r>
          <rPr>
            <b/>
            <sz val="9"/>
            <color indexed="81"/>
            <rFont val="Tahoma"/>
            <family val="2"/>
          </rPr>
          <t xml:space="preserve">  Si 
</t>
        </r>
        <r>
          <rPr>
            <sz val="9"/>
            <color indexed="81"/>
            <rFont val="Tahoma"/>
            <family val="2"/>
          </rPr>
          <t xml:space="preserve">3.- Ingresar el Formulario </t>
        </r>
        <r>
          <rPr>
            <b/>
            <sz val="9"/>
            <color indexed="81"/>
            <rFont val="Tahoma"/>
            <family val="2"/>
          </rPr>
          <t xml:space="preserve">Regulación Fecundidad (Paternidad Responsable) se registre:
        * En la sección Metodo Anticonceptivo (Por Atención) --&gt; Método Anticonceptivo Actual  (Por Atención)   
                                                                                           --  </t>
        </r>
        <r>
          <rPr>
            <sz val="9"/>
            <color indexed="81"/>
            <rFont val="Tahoma"/>
            <family val="2"/>
          </rPr>
          <t>En el campo</t>
        </r>
        <r>
          <rPr>
            <b/>
            <sz val="9"/>
            <color indexed="81"/>
            <rFont val="Tahoma"/>
            <family val="2"/>
          </rPr>
          <t xml:space="preserve"> PV-VIH </t>
        </r>
        <r>
          <rPr>
            <sz val="9"/>
            <color indexed="81"/>
            <rFont val="Tahoma"/>
            <family val="2"/>
          </rPr>
          <t>con el valor</t>
        </r>
        <r>
          <rPr>
            <b/>
            <sz val="9"/>
            <color indexed="81"/>
            <rFont val="Tahoma"/>
            <family val="2"/>
          </rPr>
          <t xml:space="preserve"> Si
         </t>
        </r>
        <r>
          <rPr>
            <sz val="9"/>
            <color indexed="81"/>
            <rFont val="Tahoma"/>
            <family val="2"/>
          </rPr>
          <t xml:space="preserve">
</t>
        </r>
        <r>
          <rPr>
            <b/>
            <sz val="9"/>
            <color indexed="81"/>
            <rFont val="Tahoma"/>
            <family val="2"/>
          </rPr>
          <t xml:space="preserve">
</t>
        </r>
        <r>
          <rPr>
            <sz val="9"/>
            <color indexed="81"/>
            <rFont val="Tahoma"/>
            <family val="2"/>
          </rPr>
          <t xml:space="preserve">
</t>
        </r>
      </text>
    </comment>
    <comment ref="B42" authorId="4" shapeId="0" xr:uid="{50E32985-42F8-45CB-88AC-CEEFB7CF5EE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
                                                                                                                       - Matron(a)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ó No
NOTA: El total de gestantes debe ser igual a las gestantes con estado nutricional.  .</t>
        </r>
      </text>
    </comment>
    <comment ref="C42" authorId="4" shapeId="0" xr:uid="{9978A78E-985B-465E-9BA9-C34414203EC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NOTA: El total de gestantes debe ser igual a las gestantes con estado nutricional.</t>
        </r>
      </text>
    </comment>
    <comment ref="D42" authorId="4" shapeId="0" xr:uid="{B7B037BB-1EA6-43BE-9F80-ABC6FA3D2FB2}">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*En las preguntas del 1 al 8 ; tenga en desde 3 o mas respuestas con el valor </t>
        </r>
        <r>
          <rPr>
            <b/>
            <sz val="9"/>
            <color indexed="81"/>
            <rFont val="Tahoma"/>
            <family val="2"/>
          </rPr>
          <t>"SI"</t>
        </r>
        <r>
          <rPr>
            <sz val="9"/>
            <color indexed="81"/>
            <rFont val="Tahoma"/>
            <family val="2"/>
          </rPr>
          <t xml:space="preserve">  (lo que identificará que tenga mas de 3 riesgos psicosociales)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NOTA: El total de gestantes debe ser igual a las gestantes con estado nutricional.</t>
        </r>
      </text>
    </comment>
    <comment ref="E42" authorId="4" shapeId="0" xr:uid="{2CEAD0E1-5F02-47B8-BC38-752E7AD75883}">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 xml:space="preserve"> En el campo</t>
        </r>
        <r>
          <rPr>
            <b/>
            <sz val="9"/>
            <color indexed="81"/>
            <rFont val="Tahoma"/>
            <family val="2"/>
          </rPr>
          <t xml:space="preserve"> ¿Es Víctima de Violencia de Género? </t>
        </r>
        <r>
          <rPr>
            <sz val="9"/>
            <color indexed="81"/>
            <rFont val="Tahoma"/>
            <family val="2"/>
          </rPr>
          <t>con valor</t>
        </r>
        <r>
          <rPr>
            <b/>
            <sz val="9"/>
            <color indexed="81"/>
            <rFont val="Tahoma"/>
            <family val="2"/>
          </rPr>
          <t xml:space="preserve"> Si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Pauta (Por Atención)</t>
        </r>
        <r>
          <rPr>
            <sz val="9"/>
            <color indexed="81"/>
            <rFont val="Tahoma"/>
            <family val="2"/>
          </rPr>
          <t xml:space="preserve"> --&gt; -  En el campo </t>
        </r>
        <r>
          <rPr>
            <b/>
            <sz val="9"/>
            <color indexed="81"/>
            <rFont val="Tahoma"/>
            <family val="2"/>
          </rPr>
          <t xml:space="preserve">8. Violencia de Género. ¿Su pareja, ex pareja, u otro hombre la ha insultado, humillado o amenazado? ¿Le ha dicho que no debería estar embarazada?¿Controla con quién conversa o el dinero que gasta (Violencia Psicológica). ¿Su pareja, ex pareja u otro hombre la ha golpeado o empujado? (Violencia  Física).¿Este embarazo es consecuencia de una relación sexual no consentida? (Violencia Sexual) </t>
        </r>
        <r>
          <rPr>
            <sz val="9"/>
            <color indexed="81"/>
            <rFont val="Tahoma"/>
            <family val="2"/>
          </rPr>
          <t xml:space="preserve">con valor </t>
        </r>
        <r>
          <rPr>
            <b/>
            <sz val="9"/>
            <color indexed="81"/>
            <rFont val="Tahoma"/>
            <family val="2"/>
          </rPr>
          <t xml:space="preserve">Si 
        * </t>
        </r>
        <r>
          <rPr>
            <sz val="9"/>
            <color indexed="81"/>
            <rFont val="Tahoma"/>
            <family val="2"/>
          </rPr>
          <t>En la sección</t>
        </r>
        <r>
          <rPr>
            <b/>
            <sz val="9"/>
            <color indexed="81"/>
            <rFont val="Tahoma"/>
            <family val="2"/>
          </rPr>
          <t xml:space="preserve"> Resultado (Por Atención) </t>
        </r>
        <r>
          <rPr>
            <sz val="9"/>
            <color indexed="81"/>
            <rFont val="Tahoma"/>
            <family val="2"/>
          </rPr>
          <t xml:space="preserve">--&gt; -  En el campo </t>
        </r>
        <r>
          <rPr>
            <b/>
            <sz val="9"/>
            <color indexed="81"/>
            <rFont val="Tahoma"/>
            <family val="2"/>
          </rPr>
          <t xml:space="preserve">Riesgo Psicosocial </t>
        </r>
        <r>
          <rPr>
            <sz val="9"/>
            <color indexed="81"/>
            <rFont val="Tahoma"/>
            <family val="2"/>
          </rPr>
          <t xml:space="preserve">con valor </t>
        </r>
        <r>
          <rPr>
            <b/>
            <sz val="9"/>
            <color indexed="81"/>
            <rFont val="Tahoma"/>
            <family val="2"/>
          </rPr>
          <t xml:space="preserve">Si 
</t>
        </r>
      </text>
    </comment>
    <comment ref="F42" authorId="4" shapeId="0" xr:uid="{90576FF5-A5B0-433F-A23B-F3A1287CCB48}">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 xml:space="preserve"> En el campo </t>
        </r>
        <r>
          <rPr>
            <b/>
            <sz val="9"/>
            <color indexed="81"/>
            <rFont val="Tahoma"/>
            <family val="2"/>
          </rPr>
          <t xml:space="preserve">¿Es Alto Riesgo Obstetrico? </t>
        </r>
        <r>
          <rPr>
            <sz val="9"/>
            <color indexed="81"/>
            <rFont val="Tahoma"/>
            <family val="2"/>
          </rPr>
          <t>con valor</t>
        </r>
        <r>
          <rPr>
            <b/>
            <sz val="9"/>
            <color indexed="81"/>
            <rFont val="Tahoma"/>
            <family val="2"/>
          </rPr>
          <t xml:space="preserve"> Si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t>
        </r>
        <r>
          <rPr>
            <b/>
            <sz val="9"/>
            <color indexed="81"/>
            <rFont val="Tahoma"/>
            <family val="2"/>
          </rPr>
          <t xml:space="preserve">            * </t>
        </r>
        <r>
          <rPr>
            <sz val="9"/>
            <color indexed="81"/>
            <rFont val="Tahoma"/>
            <family val="2"/>
          </rPr>
          <t>En la sección</t>
        </r>
        <r>
          <rPr>
            <b/>
            <sz val="9"/>
            <color indexed="81"/>
            <rFont val="Tahoma"/>
            <family val="2"/>
          </rPr>
          <t xml:space="preserve"> Resultado (Por Atención) </t>
        </r>
        <r>
          <rPr>
            <sz val="9"/>
            <color indexed="81"/>
            <rFont val="Tahoma"/>
            <family val="2"/>
          </rPr>
          <t xml:space="preserve">--&gt; -  En el campo </t>
        </r>
        <r>
          <rPr>
            <b/>
            <sz val="9"/>
            <color indexed="81"/>
            <rFont val="Tahoma"/>
            <family val="2"/>
          </rPr>
          <t xml:space="preserve">Riesgo Psicosocial </t>
        </r>
        <r>
          <rPr>
            <sz val="9"/>
            <color indexed="81"/>
            <rFont val="Tahoma"/>
            <family val="2"/>
          </rPr>
          <t xml:space="preserve">con valor </t>
        </r>
        <r>
          <rPr>
            <b/>
            <sz val="9"/>
            <color indexed="81"/>
            <rFont val="Tahoma"/>
            <family val="2"/>
          </rPr>
          <t xml:space="preserve">Si 
</t>
        </r>
      </text>
    </comment>
    <comment ref="G42" authorId="0" shapeId="0" xr:uid="{85ADD9C0-5C47-4D12-A6EB-415994F294CB}">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H42" authorId="4" shapeId="0" xr:uid="{B245F263-A206-4250-8C0A-18EB0B3655BC}">
      <text>
        <r>
          <rPr>
            <sz val="9"/>
            <color indexed="81"/>
            <rFont val="Tahoma"/>
            <family val="2"/>
          </rPr>
          <t>Se contabilizara a los pacientes que tengan en  Antecedentes del usuario APS / Pestaña "Identificacion"  Item  Alertas Adm.</t>
        </r>
        <r>
          <rPr>
            <b/>
            <sz val="9"/>
            <color indexed="81"/>
            <rFont val="Tahoma"/>
            <family val="2"/>
          </rPr>
          <t xml:space="preserve">  "MIGRANTES"</t>
        </r>
      </text>
    </comment>
    <comment ref="I42" authorId="1" shapeId="0" xr:uid="{CA90E3A1-29BE-41E3-B45A-3090BE9AFAF6}">
      <text>
        <r>
          <rPr>
            <sz val="9"/>
            <color indexed="81"/>
            <rFont val="Tahoma"/>
            <family val="2"/>
          </rPr>
          <t>Se contabilizará a los usuarios que tengan registrado desde Box o desde el módulo Inscripción en el campo Identidad de género;</t>
        </r>
        <r>
          <rPr>
            <b/>
            <sz val="9"/>
            <color indexed="81"/>
            <rFont val="Tahoma"/>
            <family val="2"/>
          </rPr>
          <t xml:space="preserve">
-Trans masculino
-No Binarie</t>
        </r>
        <r>
          <rPr>
            <sz val="9"/>
            <color indexed="81"/>
            <rFont val="Tahoma"/>
            <family val="2"/>
          </rPr>
          <t xml:space="preserve">
</t>
        </r>
      </text>
    </comment>
    <comment ref="K42" authorId="3" shapeId="0" xr:uid="{C4A92C96-E5FF-40CA-A2BF-133CE3DA97E4}">
      <text>
        <r>
          <rPr>
            <sz val="9"/>
            <color indexed="81"/>
            <rFont val="Tahoma"/>
            <family val="2"/>
          </rPr>
          <t xml:space="preserve">Contabilizará pacientes con Discapacidad registrada desde el Módulo </t>
        </r>
        <r>
          <rPr>
            <b/>
            <sz val="9"/>
            <color indexed="81"/>
            <rFont val="Tahoma"/>
            <family val="2"/>
          </rPr>
          <t>Admisión - Inscripción o BOX</t>
        </r>
        <r>
          <rPr>
            <sz val="9"/>
            <color indexed="81"/>
            <rFont val="Tahoma"/>
            <family val="2"/>
          </rPr>
          <t>.</t>
        </r>
      </text>
    </comment>
    <comment ref="B55" authorId="4" shapeId="0" xr:uid="{5E450B29-EC69-447E-9CE7-14AA06BF028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4. Registrar alguna de las siguientes actividades:
             </t>
        </r>
        <r>
          <rPr>
            <b/>
            <sz val="9"/>
            <color indexed="81"/>
            <rFont val="Tahoma"/>
            <family val="2"/>
          </rPr>
          <t>- Visita Domiciliaria Integral Familia con Gestante Adolescente 10 a 14 Años_Primera Visita
             - Visita Domiciliaria Integral Familia con Gestante Adolescente 10 a 14 Años_Segunda Visita
             - Visita Domiciliaria Integral Familia con Gestante Adolescente 10 a 14 Años_Tercera o más Visitas de Seguimiento
             - Visita Domiciliaria Integral Familia con Gestante &gt; 20 Años en Riesgo Psicosocial_Primera Visita 
             - Visita Domiciliaria Integral Familia con Gestante &gt; 20 Años en Riesgo Psicosocial_Segunda Visita 
             - Visita Domiciliaria Integral Familia con Gestante &gt; 20 Años en Riesgo Psicosocial_Tercera o más Visitas de Seguimiento
             - Visita Domiciliaria Integral Familia con Gestante Adolescente en Riesgo Psicosocial 15 a 19 Años_Primera Visita 
             - Visita Domiciliaria Integral Familia con Gestante Adolescente en Riesgo Psicosocial 15 a 19 Años_Segunda Visita 
             - Visita Domiciliaria Integral Familia con Gestante Adolescente en Riesgo Psicosocial 15 a 19 Años_Tercera o más Visitas de Seguimiento
             - Visita Domiciliaria Integral a Familia con Gestante en Riesgo Biomédico_Primera Visita
             - Visita Domiciliaria Integral a Familia con Gestante en Riesgo Biomédico_Segunda Visita
             - Visita Domiciliaria Integral a Familia con Gestante en Riesgo Biomédico_Tercera o más Visitas de Seguimiento</t>
        </r>
        <r>
          <rPr>
            <sz val="9"/>
            <color indexed="81"/>
            <rFont val="Tahoma"/>
            <family val="2"/>
          </rPr>
          <t xml:space="preserve">
</t>
        </r>
        <r>
          <rPr>
            <b/>
            <sz val="9"/>
            <color indexed="81"/>
            <rFont val="Tahoma"/>
            <family val="2"/>
          </rPr>
          <t>NOTA</t>
        </r>
        <r>
          <rPr>
            <sz val="9"/>
            <color indexed="81"/>
            <rFont val="Tahoma"/>
            <family val="2"/>
          </rPr>
          <t xml:space="preserve">. Se contabiliza la cantidad de gestantes </t>
        </r>
        <r>
          <rPr>
            <b/>
            <sz val="9"/>
            <color indexed="81"/>
            <rFont val="Tahoma"/>
            <family val="2"/>
          </rPr>
          <t xml:space="preserve">
</t>
        </r>
      </text>
    </comment>
    <comment ref="C55" authorId="4" shapeId="0" xr:uid="{01FAFA62-22A3-4305-951C-1D873479A64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4. Registrar alguna de las siguientes actividades:
             </t>
        </r>
        <r>
          <rPr>
            <b/>
            <sz val="9"/>
            <color indexed="81"/>
            <rFont val="Tahoma"/>
            <family val="2"/>
          </rPr>
          <t>- Visita Domiciliaria Integral Familia con Gestante Adolescente 10 a 14 Años_Primera Visita
             - Visita Domiciliaria Integral Familia con Gestante Adolescente 10 a 14 Años_Segunda Visita
             - Visita Domiciliaria Integral Familia con Gestante Adolescente 10 a 14 Años_Tercera o más Visitas de Seguimiento
             - Visita Domiciliaria Integral Familia con Gestante &gt; 20 Años en Riesgo Psicosocial_Primera Visita 
             - Visita Domiciliaria Integral Familia con Gestante &gt; 20 Años en Riesgo Psicosocial_Segunda Visita 
             - Visita Domiciliaria Integral Familia con Gestante &gt; 20 Años en Riesgo Psicosocial_Tercera o más Visitas de Seguimiento
             - Visita Domiciliaria Integral Familia con Gestante Adolescente en Riesgo Psicosocial 15 a 19 Años_Primera Visita 
             - Visita Domiciliaria Integral Familia con Gestante Adolescente en Riesgo Psicosocial 15 a 19 Años_Segunda Visita 
             - Visita Domiciliaria Integral Familia con Gestante Adolescente en Riesgo Psicosocial 15 a 19 Años_Tercera o más Visitas de Seguimiento
             - Visita Domiciliaria Integral a Familia con Gestante en Riesgo Biomédico_Primera Visita
             - Visita Domiciliaria Integral a Familia con Gestante en Riesgo Biomédico_Segunda Visita
             - Visita Domiciliaria Integral a Familia con Gestante en Riesgo Biomédico_Tercera o más Visitas de Seguimiento</t>
        </r>
        <r>
          <rPr>
            <sz val="9"/>
            <color indexed="81"/>
            <rFont val="Tahoma"/>
            <family val="2"/>
          </rPr>
          <t xml:space="preserve">
</t>
        </r>
        <r>
          <rPr>
            <b/>
            <sz val="9"/>
            <color indexed="81"/>
            <rFont val="Tahoma"/>
            <family val="2"/>
          </rPr>
          <t>NOTA</t>
        </r>
        <r>
          <rPr>
            <sz val="9"/>
            <color indexed="81"/>
            <rFont val="Tahoma"/>
            <family val="2"/>
          </rPr>
          <t xml:space="preserve">. Se contabiliza la cantidad de atenciones (visitas) </t>
        </r>
        <r>
          <rPr>
            <b/>
            <sz val="9"/>
            <color indexed="81"/>
            <rFont val="Tahoma"/>
            <family val="2"/>
          </rPr>
          <t xml:space="preserve">
</t>
        </r>
      </text>
    </comment>
    <comment ref="D55" authorId="4" shapeId="0" xr:uid="{45478662-7F82-45EF-ADEA-D5F7D81B082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4. Registrar alguna de las siguientes actividades:
           </t>
        </r>
        <r>
          <rPr>
            <b/>
            <sz val="9"/>
            <color indexed="81"/>
            <rFont val="Tahoma"/>
            <family val="2"/>
          </rPr>
          <t xml:space="preserve"> Visita Domiciliaria Integral Familia con Gestante Adolescente 10 a 14 Años_Tercera o más Visitas de Seguimiento
            - Visita Domiciliaria Integral Familia con Gestante &gt; 20 Años en Riesgo Psicosocial_Tercera o más Visitas de Seguimiento
           - Visita Domiciliaria Integral Familia con Gestante Adolescente en Riesgo Psicosocial 15 a 19 Años_Tercera o más Visitas de Seguimiento
             - Visita Domiciliaria Integral a Familia con Gestante en Riesgo Biomédico_Tercera o más Visitas de Seguimiento</t>
        </r>
        <r>
          <rPr>
            <sz val="9"/>
            <color indexed="81"/>
            <rFont val="Tahoma"/>
            <family val="2"/>
          </rPr>
          <t xml:space="preserve">
</t>
        </r>
        <r>
          <rPr>
            <b/>
            <sz val="9"/>
            <color indexed="81"/>
            <rFont val="Tahoma"/>
            <family val="2"/>
          </rPr>
          <t>NOTA</t>
        </r>
        <r>
          <rPr>
            <sz val="9"/>
            <color indexed="81"/>
            <rFont val="Tahoma"/>
            <family val="2"/>
          </rPr>
          <t xml:space="preserve">. Se contabiliza la cantidad de gestantes </t>
        </r>
        <r>
          <rPr>
            <b/>
            <sz val="9"/>
            <color indexed="81"/>
            <rFont val="Tahoma"/>
            <family val="2"/>
          </rPr>
          <t xml:space="preserve">
</t>
        </r>
      </text>
    </comment>
    <comment ref="B65" authorId="4" shapeId="0" xr:uid="{00D5BD3F-E208-4357-A8C9-E558BBB1F33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Obesidad,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b/>
            <sz val="9"/>
            <color indexed="81"/>
            <rFont val="Tahoma"/>
            <family val="2"/>
          </rPr>
          <t xml:space="preserve">
</t>
        </r>
      </text>
    </comment>
    <comment ref="B66" authorId="4" shapeId="0" xr:uid="{D9DD23CE-EBF7-4461-8A50-2FF7BBC56F8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Sobrepeso,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Sobrepeso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
</t>
        </r>
        <r>
          <rPr>
            <b/>
            <sz val="9"/>
            <color indexed="81"/>
            <rFont val="Tahoma"/>
            <family val="2"/>
          </rPr>
          <t>NOTA</t>
        </r>
        <r>
          <rPr>
            <sz val="9"/>
            <color indexed="81"/>
            <rFont val="Tahoma"/>
            <family val="2"/>
          </rPr>
          <t xml:space="preserve">. Se contabiliza la cantidad de gestantes </t>
        </r>
        <r>
          <rPr>
            <b/>
            <sz val="9"/>
            <color indexed="81"/>
            <rFont val="Tahoma"/>
            <family val="2"/>
          </rPr>
          <t xml:space="preserve">
</t>
        </r>
      </text>
    </comment>
    <comment ref="B67" authorId="4" shapeId="0" xr:uid="{0FE76073-4F8A-48BC-BCC1-57DBF1B04E28}">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Normal o Eutrófico,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Normal,
                                                                                                                                                                                        Normal o Eutrófico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
</t>
        </r>
        <r>
          <rPr>
            <b/>
            <sz val="9"/>
            <color indexed="81"/>
            <rFont val="Tahoma"/>
            <family val="2"/>
          </rPr>
          <t xml:space="preserve">
</t>
        </r>
      </text>
    </comment>
    <comment ref="B68" authorId="4" shapeId="0" xr:uid="{15CBAF45-BD98-436F-872D-D36B294EC96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Desnutrición,
                                                                                                                                                                                        Riesgo de Desnutrir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t>
        </r>
        <r>
          <rPr>
            <sz val="9"/>
            <color indexed="81"/>
            <rFont val="Tahoma"/>
            <family val="2"/>
          </rPr>
          <t xml:space="preserve">
</t>
        </r>
        <r>
          <rPr>
            <b/>
            <sz val="9"/>
            <color indexed="81"/>
            <rFont val="Tahoma"/>
            <family val="2"/>
          </rPr>
          <t>NOTA</t>
        </r>
        <r>
          <rPr>
            <sz val="9"/>
            <color indexed="81"/>
            <rFont val="Tahoma"/>
            <family val="2"/>
          </rPr>
          <t xml:space="preserve">. Se contabiliza la cantidad de gestantes </t>
        </r>
        <r>
          <rPr>
            <b/>
            <sz val="9"/>
            <color indexed="81"/>
            <rFont val="Tahoma"/>
            <family val="2"/>
          </rPr>
          <t xml:space="preserve">
</t>
        </r>
      </text>
    </comment>
    <comment ref="B70" authorId="4" shapeId="0" xr:uid="{9D456095-FACF-47D9-BF80-95DC79E63F3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Octavo Mes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Obesidad,
                                                                                                                                                                                                          Obesidad Severa                                                                                                                                                                        </t>
        </r>
        <r>
          <rPr>
            <b/>
            <sz val="9"/>
            <color indexed="81"/>
            <rFont val="Tahoma"/>
            <family val="2"/>
          </rPr>
          <t xml:space="preserve">
</t>
        </r>
      </text>
    </comment>
    <comment ref="B71" authorId="4" shapeId="0" xr:uid="{640F2540-ACC3-4833-9B2D-C0C55E0E780C}">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Octavo Mes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Sobrepeso,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Sobrepeso,
</t>
        </r>
        <r>
          <rPr>
            <b/>
            <sz val="9"/>
            <color indexed="81"/>
            <rFont val="Tahoma"/>
            <family val="2"/>
          </rPr>
          <t xml:space="preserve">
</t>
        </r>
      </text>
    </comment>
    <comment ref="B72" authorId="4" shapeId="0" xr:uid="{BA3578CD-6EA3-445A-88DC-5FBA830FB0F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Octavo Mes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Normal o Eutrófico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Normal,
                                                                                                                                                                                                          Normal o Eutrófico,
                                                                                                                                                                                                        </t>
        </r>
        <r>
          <rPr>
            <b/>
            <sz val="9"/>
            <color indexed="81"/>
            <rFont val="Tahoma"/>
            <family val="2"/>
          </rPr>
          <t xml:space="preserve">
</t>
        </r>
      </text>
    </comment>
    <comment ref="B73" authorId="4" shapeId="0" xr:uid="{03E7818E-99F6-47E6-BAFD-C22056E6A565}">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Octavo Mes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valors</t>
        </r>
        <r>
          <rPr>
            <b/>
            <sz val="9"/>
            <color indexed="81"/>
            <rFont val="Tahoma"/>
            <family val="2"/>
          </rPr>
          <t xml:space="preserve"> Bajo Peso,
                                                                                                                                                                                                        Desnutrición,
                                                                                                                                                                                                        Riesgo de Desnutrir
                                                                                                                                                                      </t>
        </r>
        <r>
          <rPr>
            <b/>
            <sz val="9"/>
            <color indexed="81"/>
            <rFont val="Tahoma"/>
            <family val="2"/>
          </rPr>
          <t xml:space="preserve">
</t>
        </r>
      </text>
    </comment>
    <comment ref="B77" authorId="4" shapeId="0" xr:uid="{711C2F81-58D5-4810-BDE5-BEAD0A3BE94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o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Calificación nutricional según IMC y edad gestacional</t>
        </r>
        <r>
          <rPr>
            <sz val="9"/>
            <color indexed="81"/>
            <rFont val="Tahoma"/>
            <family val="2"/>
          </rPr>
          <t xml:space="preserve"> con el valor de</t>
        </r>
        <r>
          <rPr>
            <b/>
            <sz val="9"/>
            <color indexed="81"/>
            <rFont val="Tahoma"/>
            <family val="2"/>
          </rPr>
          <t xml:space="preserve"> Bajo peso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o No</t>
        </r>
        <r>
          <rPr>
            <sz val="9"/>
            <color indexed="81"/>
            <rFont val="Tahoma"/>
            <family val="2"/>
          </rPr>
          <t xml:space="preserve">
y 
4. Registrar alguna de las siguientes</t>
        </r>
        <r>
          <rPr>
            <b/>
            <sz val="9"/>
            <color indexed="81"/>
            <rFont val="Tahoma"/>
            <family val="2"/>
          </rPr>
          <t xml:space="preserve"> actividades:
                                                                     - Consulta Mal Nutrición por Déficit
                                                                     - Consulta Mal Nutrición por Déficit - Riesgo Desnutrir/Bajo Peso 
</t>
        </r>
      </text>
    </comment>
    <comment ref="B78" authorId="4" shapeId="0" xr:uid="{B557F952-A820-44D0-9717-B63F73FF0C82}">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o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Calificación nutricional según IMC y edad gestacional</t>
        </r>
        <r>
          <rPr>
            <sz val="9"/>
            <color indexed="81"/>
            <rFont val="Tahoma"/>
            <family val="2"/>
          </rPr>
          <t xml:space="preserve"> con el valor de</t>
        </r>
        <r>
          <rPr>
            <b/>
            <sz val="9"/>
            <color indexed="81"/>
            <rFont val="Tahoma"/>
            <family val="2"/>
          </rPr>
          <t xml:space="preserve"> Obeso(a)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o No</t>
        </r>
        <r>
          <rPr>
            <sz val="9"/>
            <color indexed="81"/>
            <rFont val="Tahoma"/>
            <family val="2"/>
          </rPr>
          <t xml:space="preserve">
y 
4. Registrar alguna de las siguientes</t>
        </r>
        <r>
          <rPr>
            <b/>
            <sz val="9"/>
            <color indexed="81"/>
            <rFont val="Tahoma"/>
            <family val="2"/>
          </rPr>
          <t xml:space="preserve"> actividades:
                                                                 - Consulta Mal Nutrición por Exceso
                                                                 - Consulta Mal Nutrición por Exceso - Riesgo Sobrepeso/Obesidad
</t>
        </r>
      </text>
    </comment>
    <comment ref="B79" authorId="4" shapeId="0" xr:uid="{C033F773-6B14-413E-A7EB-6D6D42FC07B8}">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o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Calificación nutricional según IMC y edad gestacional</t>
        </r>
        <r>
          <rPr>
            <sz val="9"/>
            <color indexed="81"/>
            <rFont val="Tahoma"/>
            <family val="2"/>
          </rPr>
          <t xml:space="preserve"> con el valor de</t>
        </r>
        <r>
          <rPr>
            <b/>
            <sz val="9"/>
            <color indexed="81"/>
            <rFont val="Tahoma"/>
            <family val="2"/>
          </rPr>
          <t xml:space="preserve"> Sobrepeso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Si o No</t>
        </r>
        <r>
          <rPr>
            <sz val="9"/>
            <color indexed="81"/>
            <rFont val="Tahoma"/>
            <family val="2"/>
          </rPr>
          <t xml:space="preserve">
y 
4. Registrar alguna de las siguientes</t>
        </r>
        <r>
          <rPr>
            <b/>
            <sz val="9"/>
            <color indexed="81"/>
            <rFont val="Tahoma"/>
            <family val="2"/>
          </rPr>
          <t xml:space="preserve"> actividades:
                                                                 - Consulta Mal Nutrición por Exceso
                                                                 - Consulta Mal Nutrición por Exceso - Riesgo Sobrepeso/Obesidad
</t>
        </r>
      </text>
    </comment>
    <comment ref="B80" authorId="4" shapeId="0" xr:uid="{97113465-DB3A-4A8D-9321-B92DF3F1CE9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
                                                                                                    - Nutricionista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Tercer Mes
                                                                                                             -  </t>
        </r>
        <r>
          <rPr>
            <sz val="9"/>
            <color indexed="81"/>
            <rFont val="Tahoma"/>
            <family val="2"/>
          </rPr>
          <t>En el campo</t>
        </r>
        <r>
          <rPr>
            <b/>
            <sz val="9"/>
            <color indexed="81"/>
            <rFont val="Tahoma"/>
            <family val="2"/>
          </rPr>
          <t xml:space="preserve"> Estado Nutricional </t>
        </r>
        <r>
          <rPr>
            <sz val="9"/>
            <color indexed="81"/>
            <rFont val="Tahoma"/>
            <family val="2"/>
          </rPr>
          <t>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3. Registrar alguna de las siguientes</t>
        </r>
        <r>
          <rPr>
            <b/>
            <sz val="9"/>
            <color indexed="81"/>
            <rFont val="Tahoma"/>
            <family val="2"/>
          </rPr>
          <t xml:space="preserve"> actividades:
                                                                      - Consulta Mal Nutrición por Déficit
                                                                      - Consulta Mal Nutrición por Exceso
                                                                      - Consulta Estado Nutricional Normal
                                                                      - Consulta Mal Nutrición por Déficit - Riesgo Desnutrir/Bajo Peso 
                                                                      - Consulta Mal Nutrición por Exceso - Riesgo Sobrepeso/Obesidad
                                                                      - Consulta Nutricional - Otras Consultas </t>
        </r>
      </text>
    </comment>
    <comment ref="B81" authorId="4" shapeId="0" xr:uid="{6AEB12B0-471C-4289-864D-7249262F4F8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
                                                                                                    - Nutricionista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que tenga el valor </t>
        </r>
        <r>
          <rPr>
            <b/>
            <sz val="9"/>
            <color indexed="81"/>
            <rFont val="Tahoma"/>
            <family val="2"/>
          </rPr>
          <t xml:space="preserve">Puerpera
</t>
        </r>
        <r>
          <rPr>
            <sz val="9"/>
            <color indexed="81"/>
            <rFont val="Tahoma"/>
            <family val="2"/>
          </rPr>
          <t xml:space="preserve">
 2.- Ingresar el Formulario </t>
        </r>
        <r>
          <rPr>
            <b/>
            <sz val="9"/>
            <color indexed="81"/>
            <rFont val="Tahoma"/>
            <family val="2"/>
          </rPr>
          <t>Seguimiento Nutricional Postparto 3er, 6to y 8vo Mes</t>
        </r>
        <r>
          <rPr>
            <sz val="9"/>
            <color indexed="81"/>
            <rFont val="Tahoma"/>
            <family val="2"/>
          </rPr>
          <t xml:space="preserve"> se registre:
        * En la sección</t>
        </r>
        <r>
          <rPr>
            <b/>
            <sz val="9"/>
            <color indexed="81"/>
            <rFont val="Tahoma"/>
            <family val="2"/>
          </rPr>
          <t xml:space="preserve"> Seguimiento Nutricional Postparto (Por Atención)   -  </t>
        </r>
        <r>
          <rPr>
            <sz val="9"/>
            <color indexed="81"/>
            <rFont val="Tahoma"/>
            <family val="2"/>
          </rPr>
          <t xml:space="preserve">En el campo </t>
        </r>
        <r>
          <rPr>
            <b/>
            <sz val="9"/>
            <color indexed="81"/>
            <rFont val="Tahoma"/>
            <family val="2"/>
          </rPr>
          <t xml:space="preserve">Seguimiento Nutricional Postparto de </t>
        </r>
        <r>
          <rPr>
            <sz val="9"/>
            <color indexed="81"/>
            <rFont val="Tahoma"/>
            <family val="2"/>
          </rPr>
          <t>con valor</t>
        </r>
        <r>
          <rPr>
            <b/>
            <sz val="9"/>
            <color indexed="81"/>
            <rFont val="Tahoma"/>
            <family val="2"/>
          </rPr>
          <t xml:space="preserve"> Sexto Mes
                                                                                                             -  </t>
        </r>
        <r>
          <rPr>
            <sz val="9"/>
            <color indexed="81"/>
            <rFont val="Tahoma"/>
            <family val="2"/>
          </rPr>
          <t>En el campo</t>
        </r>
        <r>
          <rPr>
            <b/>
            <sz val="9"/>
            <color indexed="81"/>
            <rFont val="Tahoma"/>
            <family val="2"/>
          </rPr>
          <t xml:space="preserve"> Estado Nutricional </t>
        </r>
        <r>
          <rPr>
            <sz val="9"/>
            <color indexed="81"/>
            <rFont val="Tahoma"/>
            <family val="2"/>
          </rPr>
          <t>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3. Registrar alguna de las siguientes</t>
        </r>
        <r>
          <rPr>
            <b/>
            <sz val="9"/>
            <color indexed="81"/>
            <rFont val="Tahoma"/>
            <family val="2"/>
          </rPr>
          <t xml:space="preserve"> actividades:
                                                                      - Consulta Mal Nutrición por Déficit
                                                                      - Consulta Mal Nutrición por Exceso
                                                                      - Consulta Estado Nutricional Normal
                                                                      - Consulta Mal Nutrición por Déficit - Riesgo Desnutrir/Bajo Peso 
                                                                      - Consulta Mal Nutrición por Exceso - Riesgo Sobrepeso/Obesidad
                                                                      - Consulta Nutricional - Otras Consultas </t>
        </r>
      </text>
    </comment>
    <comment ref="D83" authorId="1" shapeId="0" xr:uid="{DB131D4C-6077-4FFB-9287-BBB7BDE4D16C}">
      <text>
        <r>
          <rPr>
            <sz val="9"/>
            <color indexed="81"/>
            <rFont val="Tahoma"/>
            <family val="2"/>
          </rPr>
          <t>Se contabilizará a los usuarios que tengan registrado desde Box o desde el módulo Inscripción en el campo Identidad de género;</t>
        </r>
        <r>
          <rPr>
            <b/>
            <sz val="9"/>
            <color indexed="81"/>
            <rFont val="Tahoma"/>
            <family val="2"/>
          </rPr>
          <t xml:space="preserve">
-Trans masculino</t>
        </r>
        <r>
          <rPr>
            <sz val="9"/>
            <color indexed="81"/>
            <rFont val="Tahoma"/>
            <family val="2"/>
          </rPr>
          <t xml:space="preserve">
</t>
        </r>
      </text>
    </comment>
    <comment ref="E83" authorId="0" shapeId="0" xr:uid="{8654B9C7-E44D-42E0-AEA6-C8F6442CE14E}">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F83" authorId="4" shapeId="0" xr:uid="{6D5DAB42-D957-44E6-9D53-EA6B0469AAF7}">
      <text>
        <r>
          <rPr>
            <sz val="9"/>
            <color indexed="81"/>
            <rFont val="Tahoma"/>
            <family val="2"/>
          </rPr>
          <t>Se contabilizara a los pacientes que tengan en  Antecedentes del usuario APS / Pestaña "Identificacion"  Item  Alertas Adm.</t>
        </r>
        <r>
          <rPr>
            <b/>
            <sz val="9"/>
            <color indexed="81"/>
            <rFont val="Tahoma"/>
            <family val="2"/>
          </rPr>
          <t xml:space="preserve">  "MIGRANTES"</t>
        </r>
      </text>
    </comment>
    <comment ref="A84" authorId="1" shapeId="0" xr:uid="{1E9DB736-7C91-4EF1-AE1A-5F8760062085}">
      <text>
        <r>
          <rPr>
            <sz val="9"/>
            <color indexed="81"/>
            <rFont val="Tahoma"/>
            <family val="2"/>
          </rPr>
          <t xml:space="preserve">
Se considera como Población Bajo Control a aquellos que cumplan con las siguientes condiciones:
El registro debe ser realizado por alguno de los siguientes profesionales:  - </t>
        </r>
        <r>
          <rPr>
            <b/>
            <sz val="9"/>
            <color indexed="81"/>
            <rFont val="Tahoma"/>
            <family val="2"/>
          </rPr>
          <t>Médico con especialidad Obstetricia y Ginecología
                                                                                                    - Ginecólogo
                                                                                                    - Matrona
                                                                                                    - Nutricionista</t>
        </r>
        <r>
          <rPr>
            <sz val="9"/>
            <color indexed="81"/>
            <rFont val="Tahoma"/>
            <family val="2"/>
          </rPr>
          <t xml:space="preserve">
</t>
        </r>
        <r>
          <rPr>
            <sz val="9"/>
            <color indexed="81"/>
            <rFont val="Tahoma"/>
            <family val="2"/>
          </rPr>
          <t xml:space="preserve">
El registro debe ser realizado para los usuarios de sexo </t>
        </r>
        <r>
          <rPr>
            <b/>
            <sz val="9"/>
            <color indexed="81"/>
            <rFont val="Tahoma"/>
            <family val="2"/>
          </rPr>
          <t>Femenino ó Mujer</t>
        </r>
        <r>
          <rPr>
            <sz val="9"/>
            <color indexed="81"/>
            <rFont val="Tahoma"/>
            <family val="2"/>
          </rPr>
          <t xml:space="preserve">
Este dato aparecerá luego que en la atención registrada desde el Módulo BOX - Pacientes Citados o desde Agregar Documentos.
 1.- En la atención agregar el ciclo vital de la atencion o en el anamnesis el ciclo vital ó etapa con alguno de los valores </t>
        </r>
        <r>
          <rPr>
            <b/>
            <sz val="9"/>
            <color indexed="81"/>
            <rFont val="Tahoma"/>
            <family val="2"/>
          </rPr>
          <t>No aplica, 
                                                                                                                                                                                             No gestante,
                                                                                                                                                                                             Climaterica</t>
        </r>
        <r>
          <rPr>
            <sz val="9"/>
            <color indexed="81"/>
            <rFont val="Tahoma"/>
            <family val="2"/>
          </rPr>
          <t xml:space="preserve">
 2.- Ingresar el Formulario</t>
        </r>
        <r>
          <rPr>
            <b/>
            <sz val="9"/>
            <color indexed="81"/>
            <rFont val="Tahoma"/>
            <family val="2"/>
          </rPr>
          <t xml:space="preserve"> Control de Ginecología</t>
        </r>
        <r>
          <rPr>
            <sz val="9"/>
            <color indexed="81"/>
            <rFont val="Tahoma"/>
            <family val="2"/>
          </rPr>
          <t xml:space="preserve"> se registre:
        * En la sección </t>
        </r>
        <r>
          <rPr>
            <b/>
            <sz val="9"/>
            <color indexed="81"/>
            <rFont val="Tahoma"/>
            <family val="2"/>
          </rPr>
          <t>Próximo Control (Por Atención)</t>
        </r>
        <r>
          <rPr>
            <sz val="9"/>
            <color indexed="81"/>
            <rFont val="Tahoma"/>
            <family val="2"/>
          </rPr>
          <t xml:space="preserve">  -  En el campo </t>
        </r>
        <r>
          <rPr>
            <b/>
            <sz val="9"/>
            <color indexed="81"/>
            <rFont val="Tahoma"/>
            <family val="2"/>
          </rPr>
          <t>Fecha Próximo Control</t>
        </r>
        <r>
          <rPr>
            <sz val="9"/>
            <color indexed="81"/>
            <rFont val="Tahoma"/>
            <family val="2"/>
          </rPr>
          <t xml:space="preserve"> tener un valor fecha aproximada de citación al programa, si luego de esta fecha transcurren 29 días el paciente quedara inasistente al control.                                                                                 
        * En la sección </t>
        </r>
        <r>
          <rPr>
            <b/>
            <sz val="9"/>
            <color indexed="81"/>
            <rFont val="Tahoma"/>
            <family val="2"/>
          </rPr>
          <t>Climaterio (Por Atención)</t>
        </r>
        <r>
          <rPr>
            <sz val="9"/>
            <color indexed="81"/>
            <rFont val="Tahoma"/>
            <family val="2"/>
          </rPr>
          <t xml:space="preserve"> -  En el campo </t>
        </r>
        <r>
          <rPr>
            <b/>
            <sz val="9"/>
            <color indexed="81"/>
            <rFont val="Tahoma"/>
            <family val="2"/>
          </rPr>
          <t>Etapa Climaterio con valor Si</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Reingreso,
                                                                                                                                                                  Seguimiento  </t>
        </r>
      </text>
    </comment>
    <comment ref="A85" authorId="1" shapeId="0" xr:uid="{5B4494CE-B2EB-442D-9C95-2CE5654F7CC8}">
      <text>
        <r>
          <rPr>
            <sz val="9"/>
            <color indexed="81"/>
            <rFont val="Tahoma"/>
            <family val="2"/>
          </rPr>
          <t xml:space="preserve">
Se considera como </t>
        </r>
        <r>
          <rPr>
            <b/>
            <sz val="9"/>
            <color indexed="81"/>
            <rFont val="Tahoma"/>
            <family val="2"/>
          </rPr>
          <t>Población Bajo Control</t>
        </r>
        <r>
          <rPr>
            <sz val="9"/>
            <color indexed="81"/>
            <rFont val="Tahoma"/>
            <family val="2"/>
          </rPr>
          <t xml:space="preserve"> a aquellos que cumplan con las siguientes condiciones:
El registro debe ser realizado por alguno de los siguientes profesionales:  -</t>
        </r>
        <r>
          <rPr>
            <b/>
            <sz val="9"/>
            <color indexed="81"/>
            <rFont val="Tahoma"/>
            <family val="2"/>
          </rPr>
          <t xml:space="preserve"> Médico con especialidad Obstetricia y Ginecología
                                                                                                    - Ginecólogo
                                                                                                    - Matrona
                                                                                                    - Nutricionista</t>
        </r>
        <r>
          <rPr>
            <sz val="9"/>
            <color indexed="81"/>
            <rFont val="Tahoma"/>
            <family val="2"/>
          </rPr>
          <t xml:space="preserve">
El registro debe ser realizado para los usuarios de sexo </t>
        </r>
        <r>
          <rPr>
            <b/>
            <sz val="9"/>
            <color indexed="81"/>
            <rFont val="Tahoma"/>
            <family val="2"/>
          </rPr>
          <t>Femenino ó Mujer</t>
        </r>
        <r>
          <rPr>
            <sz val="9"/>
            <color indexed="81"/>
            <rFont val="Tahoma"/>
            <family val="2"/>
          </rPr>
          <t xml:space="preserve">
Este dato aparecerá luego que en la atención registrada desde el Módulo BOX - Pacientes Citados o desde Agregar Documentos.
 1.- En la atención agregar el </t>
        </r>
        <r>
          <rPr>
            <b/>
            <sz val="9"/>
            <color indexed="81"/>
            <rFont val="Tahoma"/>
            <family val="2"/>
          </rPr>
          <t>ciclo vital de la atencion o en el anamnesis el ciclo vital</t>
        </r>
        <r>
          <rPr>
            <sz val="9"/>
            <color indexed="81"/>
            <rFont val="Tahoma"/>
            <family val="2"/>
          </rPr>
          <t xml:space="preserve"> ó etapa con alguno de los valores </t>
        </r>
        <r>
          <rPr>
            <b/>
            <sz val="9"/>
            <color indexed="81"/>
            <rFont val="Tahoma"/>
            <family val="2"/>
          </rPr>
          <t>No aplica, 
                                                                                                                                                                                          No gestante,
                                                                                                                                                                                           Climaterica</t>
        </r>
        <r>
          <rPr>
            <sz val="9"/>
            <color indexed="81"/>
            <rFont val="Tahoma"/>
            <family val="2"/>
          </rPr>
          <t xml:space="preserve">
 2.- Ingresar el Formulario </t>
        </r>
        <r>
          <rPr>
            <b/>
            <sz val="9"/>
            <color indexed="81"/>
            <rFont val="Tahoma"/>
            <family val="2"/>
          </rPr>
          <t xml:space="preserve">Control de Ginecología </t>
        </r>
        <r>
          <rPr>
            <sz val="9"/>
            <color indexed="81"/>
            <rFont val="Tahoma"/>
            <family val="2"/>
          </rPr>
          <t>se registre:
        * En la sección Próximo Control (Por Atención)  -  En el campo Fecha Próximo Control tener un valor fecha aproximada de citación al programa, si luego de esta fecha transcurren 29 días el paciente quedara inasistente al control.                                                                                 
        * En la sección</t>
        </r>
        <r>
          <rPr>
            <b/>
            <sz val="9"/>
            <color indexed="81"/>
            <rFont val="Tahoma"/>
            <family val="2"/>
          </rPr>
          <t xml:space="preserve"> Climaterio (Por Atención</t>
        </r>
        <r>
          <rPr>
            <sz val="9"/>
            <color indexed="81"/>
            <rFont val="Tahoma"/>
            <family val="2"/>
          </rPr>
          <t xml:space="preserve">) -  En el campo </t>
        </r>
        <r>
          <rPr>
            <b/>
            <sz val="9"/>
            <color indexed="81"/>
            <rFont val="Tahoma"/>
            <family val="2"/>
          </rPr>
          <t xml:space="preserve">Etapa Climaterio con valor Si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Ingreso, 
                                                                                                                                                              Reingreso,
                                                                                                                                                              Seguimiento</t>
        </r>
        <r>
          <rPr>
            <sz val="9"/>
            <color indexed="81"/>
            <rFont val="Tahoma"/>
            <family val="2"/>
          </rPr>
          <t xml:space="preserve"> 
3.- Ingresar el </t>
        </r>
        <r>
          <rPr>
            <b/>
            <sz val="9"/>
            <color indexed="81"/>
            <rFont val="Tahoma"/>
            <family val="2"/>
          </rPr>
          <t xml:space="preserve">Formulario Menopause Rating Scale (MRS) se registre:
          * </t>
        </r>
        <r>
          <rPr>
            <sz val="9"/>
            <color indexed="81"/>
            <rFont val="Tahoma"/>
            <family val="2"/>
          </rPr>
          <t>En el campo</t>
        </r>
        <r>
          <rPr>
            <b/>
            <sz val="9"/>
            <color indexed="81"/>
            <rFont val="Tahoma"/>
            <family val="2"/>
          </rPr>
          <t xml:space="preserve"> Motivo :  </t>
        </r>
        <r>
          <rPr>
            <sz val="9"/>
            <color indexed="81"/>
            <rFont val="Tahoma"/>
            <family val="2"/>
          </rPr>
          <t>Tenga en valor de</t>
        </r>
        <r>
          <rPr>
            <b/>
            <sz val="9"/>
            <color indexed="81"/>
            <rFont val="Tahoma"/>
            <family val="2"/>
          </rPr>
          <t xml:space="preserve"> "Ingreso" o "Control"</t>
        </r>
        <r>
          <rPr>
            <sz val="9"/>
            <color indexed="81"/>
            <rFont val="Tahoma"/>
            <family val="2"/>
          </rPr>
          <t xml:space="preserve">
        * En la </t>
        </r>
        <r>
          <rPr>
            <b/>
            <sz val="9"/>
            <color indexed="81"/>
            <rFont val="Tahoma"/>
            <family val="2"/>
          </rPr>
          <t>sección Resultado: (Por Atención)</t>
        </r>
        <r>
          <rPr>
            <sz val="9"/>
            <color indexed="81"/>
            <rFont val="Tahoma"/>
            <family val="2"/>
          </rPr>
          <t xml:space="preserve">  -  En el campo </t>
        </r>
        <r>
          <rPr>
            <b/>
            <sz val="9"/>
            <color indexed="81"/>
            <rFont val="Tahoma"/>
            <family val="2"/>
          </rPr>
          <t>Puntaje Total (MRS)</t>
        </r>
        <r>
          <rPr>
            <sz val="9"/>
            <color indexed="81"/>
            <rFont val="Tahoma"/>
            <family val="2"/>
          </rPr>
          <t>: tener un valor numerico</t>
        </r>
      </text>
    </comment>
    <comment ref="A86" authorId="1" shapeId="0" xr:uid="{A7C83C13-1D34-4117-ACCF-852DC9419AB5}">
      <text>
        <r>
          <rPr>
            <sz val="9"/>
            <color indexed="81"/>
            <rFont val="Tahoma"/>
            <family val="2"/>
          </rPr>
          <t xml:space="preserve">
Se considera como </t>
        </r>
        <r>
          <rPr>
            <b/>
            <sz val="9"/>
            <color indexed="81"/>
            <rFont val="Tahoma"/>
            <family val="2"/>
          </rPr>
          <t>Población Bajo Control</t>
        </r>
        <r>
          <rPr>
            <sz val="9"/>
            <color indexed="81"/>
            <rFont val="Tahoma"/>
            <family val="2"/>
          </rPr>
          <t xml:space="preserve"> a aquellos que cumplan con las siguientes condiciones:
El registro debe ser realizado por alguno de los siguientes profesionales:  -</t>
        </r>
        <r>
          <rPr>
            <b/>
            <sz val="9"/>
            <color indexed="81"/>
            <rFont val="Tahoma"/>
            <family val="2"/>
          </rPr>
          <t xml:space="preserve"> Médico con especialidad Obstetricia y Ginecología
                                                                                                    - Ginecólogo
                                                                                                    - Matrona
                                                                                                    - Nutricionista</t>
        </r>
        <r>
          <rPr>
            <sz val="9"/>
            <color indexed="81"/>
            <rFont val="Tahoma"/>
            <family val="2"/>
          </rPr>
          <t xml:space="preserve">
El registro debe ser realizado para los usuarios de sexo </t>
        </r>
        <r>
          <rPr>
            <b/>
            <sz val="9"/>
            <color indexed="81"/>
            <rFont val="Tahoma"/>
            <family val="2"/>
          </rPr>
          <t>Femenino ó Mujer</t>
        </r>
        <r>
          <rPr>
            <sz val="9"/>
            <color indexed="81"/>
            <rFont val="Tahoma"/>
            <family val="2"/>
          </rPr>
          <t xml:space="preserve">
Este dato aparecerá luego que en la atención registrada desde el Módulo BOX - Pacientes Citados o desde Agregar Documentos.
 1.- En la atención agregar el </t>
        </r>
        <r>
          <rPr>
            <b/>
            <sz val="9"/>
            <color indexed="81"/>
            <rFont val="Tahoma"/>
            <family val="2"/>
          </rPr>
          <t>ciclo vital de la atencion o en el anamnesis el ciclo vital</t>
        </r>
        <r>
          <rPr>
            <sz val="9"/>
            <color indexed="81"/>
            <rFont val="Tahoma"/>
            <family val="2"/>
          </rPr>
          <t xml:space="preserve"> ó etapa con alguno de los valores </t>
        </r>
        <r>
          <rPr>
            <b/>
            <sz val="9"/>
            <color indexed="81"/>
            <rFont val="Tahoma"/>
            <family val="2"/>
          </rPr>
          <t>No aplica, 
                                                                                                                                                                                          No gestante,
                                                                                                                                                                                           Climaterica</t>
        </r>
        <r>
          <rPr>
            <sz val="9"/>
            <color indexed="81"/>
            <rFont val="Tahoma"/>
            <family val="2"/>
          </rPr>
          <t xml:space="preserve">
 2.- Ingresar el Formulario </t>
        </r>
        <r>
          <rPr>
            <b/>
            <sz val="9"/>
            <color indexed="81"/>
            <rFont val="Tahoma"/>
            <family val="2"/>
          </rPr>
          <t xml:space="preserve">Control de Ginecología </t>
        </r>
        <r>
          <rPr>
            <sz val="9"/>
            <color indexed="81"/>
            <rFont val="Tahoma"/>
            <family val="2"/>
          </rPr>
          <t>se registre:
        * En la sección Próximo Control (Por Atención)  -  En el campo Fecha Próximo Control tener un valor fecha aproximada de citación al programa, si luego de esta fecha transcurren 29 días el paciente quedara inasistente al control.                                                                                 
        * En la sección</t>
        </r>
        <r>
          <rPr>
            <b/>
            <sz val="9"/>
            <color indexed="81"/>
            <rFont val="Tahoma"/>
            <family val="2"/>
          </rPr>
          <t xml:space="preserve"> Climaterio (Por Atención</t>
        </r>
        <r>
          <rPr>
            <sz val="9"/>
            <color indexed="81"/>
            <rFont val="Tahoma"/>
            <family val="2"/>
          </rPr>
          <t xml:space="preserve">) -  En el campo </t>
        </r>
        <r>
          <rPr>
            <b/>
            <sz val="9"/>
            <color indexed="81"/>
            <rFont val="Tahoma"/>
            <family val="2"/>
          </rPr>
          <t xml:space="preserve">Etapa Climaterio con valor Si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Ingreso, 
                                                                                                                                                              Reingreso,
                                                                                                                                                              Seguimiento</t>
        </r>
        <r>
          <rPr>
            <sz val="9"/>
            <color indexed="81"/>
            <rFont val="Tahoma"/>
            <family val="2"/>
          </rPr>
          <t xml:space="preserve"> 
3.- Ingresar el </t>
        </r>
        <r>
          <rPr>
            <b/>
            <sz val="9"/>
            <color indexed="81"/>
            <rFont val="Tahoma"/>
            <family val="2"/>
          </rPr>
          <t xml:space="preserve">Formulario Menopause Rating Scale (MRS) se registre:
          * </t>
        </r>
        <r>
          <rPr>
            <sz val="9"/>
            <color indexed="81"/>
            <rFont val="Tahoma"/>
            <family val="2"/>
          </rPr>
          <t xml:space="preserve">En el campo </t>
        </r>
        <r>
          <rPr>
            <b/>
            <sz val="9"/>
            <color indexed="81"/>
            <rFont val="Tahoma"/>
            <family val="2"/>
          </rPr>
          <t xml:space="preserve">Motivo :  </t>
        </r>
        <r>
          <rPr>
            <sz val="9"/>
            <color indexed="81"/>
            <rFont val="Tahoma"/>
            <family val="2"/>
          </rPr>
          <t>Tenga en valor de "</t>
        </r>
        <r>
          <rPr>
            <b/>
            <sz val="9"/>
            <color indexed="81"/>
            <rFont val="Tahoma"/>
            <family val="2"/>
          </rPr>
          <t>Ingreso"</t>
        </r>
        <r>
          <rPr>
            <sz val="9"/>
            <color indexed="81"/>
            <rFont val="Tahoma"/>
            <family val="2"/>
          </rPr>
          <t xml:space="preserve">
        * En la </t>
        </r>
        <r>
          <rPr>
            <b/>
            <sz val="9"/>
            <color indexed="81"/>
            <rFont val="Tahoma"/>
            <family val="2"/>
          </rPr>
          <t>sección Resultado: (Por Atención)</t>
        </r>
        <r>
          <rPr>
            <sz val="9"/>
            <color indexed="81"/>
            <rFont val="Tahoma"/>
            <family val="2"/>
          </rPr>
          <t xml:space="preserve">  -  En el campo </t>
        </r>
        <r>
          <rPr>
            <b/>
            <sz val="9"/>
            <color indexed="81"/>
            <rFont val="Tahoma"/>
            <family val="2"/>
          </rPr>
          <t>Puntaje Total (MRS)</t>
        </r>
        <r>
          <rPr>
            <sz val="9"/>
            <color indexed="81"/>
            <rFont val="Tahoma"/>
            <family val="2"/>
          </rPr>
          <t>: tener un valor numerico</t>
        </r>
      </text>
    </comment>
    <comment ref="A87" authorId="1" shapeId="0" xr:uid="{70521409-35D6-48C7-B2C0-947D2BD76741}">
      <text>
        <r>
          <rPr>
            <sz val="9"/>
            <color indexed="81"/>
            <rFont val="Tahoma"/>
            <family val="2"/>
          </rPr>
          <t xml:space="preserve">
Se considera como </t>
        </r>
        <r>
          <rPr>
            <b/>
            <sz val="9"/>
            <color indexed="81"/>
            <rFont val="Tahoma"/>
            <family val="2"/>
          </rPr>
          <t>Población Bajo Control</t>
        </r>
        <r>
          <rPr>
            <sz val="9"/>
            <color indexed="81"/>
            <rFont val="Tahoma"/>
            <family val="2"/>
          </rPr>
          <t xml:space="preserve"> a aquellos que cumplan con las siguientes condiciones:
El registro debe ser realizado por alguno de los siguientes profesionales:  -</t>
        </r>
        <r>
          <rPr>
            <b/>
            <sz val="9"/>
            <color indexed="81"/>
            <rFont val="Tahoma"/>
            <family val="2"/>
          </rPr>
          <t xml:space="preserve"> Médico con especialidad Obstetricia y Ginecología
                                                                                                    - Ginecólogo
                                                                                                    - Matrona
                                                                                                    - Nutricionista</t>
        </r>
        <r>
          <rPr>
            <sz val="9"/>
            <color indexed="81"/>
            <rFont val="Tahoma"/>
            <family val="2"/>
          </rPr>
          <t xml:space="preserve">
El registro debe ser realizado para los usuarios de sexo </t>
        </r>
        <r>
          <rPr>
            <b/>
            <sz val="9"/>
            <color indexed="81"/>
            <rFont val="Tahoma"/>
            <family val="2"/>
          </rPr>
          <t>Femenino ó Mujer</t>
        </r>
        <r>
          <rPr>
            <sz val="9"/>
            <color indexed="81"/>
            <rFont val="Tahoma"/>
            <family val="2"/>
          </rPr>
          <t xml:space="preserve">
Este dato aparecerá luego que en la atención registrada desde el Módulo BOX - Pacientes Citados o desde Agregar Documentos.
 1.- En la atención agregar el </t>
        </r>
        <r>
          <rPr>
            <b/>
            <sz val="9"/>
            <color indexed="81"/>
            <rFont val="Tahoma"/>
            <family val="2"/>
          </rPr>
          <t>ciclo vital de la atencion o en el anamnesis el ciclo vital</t>
        </r>
        <r>
          <rPr>
            <sz val="9"/>
            <color indexed="81"/>
            <rFont val="Tahoma"/>
            <family val="2"/>
          </rPr>
          <t xml:space="preserve"> ó etapa con alguno de los valores </t>
        </r>
        <r>
          <rPr>
            <b/>
            <sz val="9"/>
            <color indexed="81"/>
            <rFont val="Tahoma"/>
            <family val="2"/>
          </rPr>
          <t>No aplica, 
                                                                                                                                                                                          No gestante,
                                                                                                                                                                                           Climaterica</t>
        </r>
        <r>
          <rPr>
            <sz val="9"/>
            <color indexed="81"/>
            <rFont val="Tahoma"/>
            <family val="2"/>
          </rPr>
          <t xml:space="preserve">
 2.- Ingresar el Formulario </t>
        </r>
        <r>
          <rPr>
            <b/>
            <sz val="9"/>
            <color indexed="81"/>
            <rFont val="Tahoma"/>
            <family val="2"/>
          </rPr>
          <t xml:space="preserve">Control de Ginecología </t>
        </r>
        <r>
          <rPr>
            <sz val="9"/>
            <color indexed="81"/>
            <rFont val="Tahoma"/>
            <family val="2"/>
          </rPr>
          <t>se registre:
        * En la sección Próximo Control (Por Atención)  -  En el campo Fecha Próximo Control tener un valor fecha aproximada de citación al programa, si luego de esta fecha transcurren 29 días el paciente quedara inasistente al control.                                                                                 
        * En la sección</t>
        </r>
        <r>
          <rPr>
            <b/>
            <sz val="9"/>
            <color indexed="81"/>
            <rFont val="Tahoma"/>
            <family val="2"/>
          </rPr>
          <t xml:space="preserve"> Climaterio (Por Atención</t>
        </r>
        <r>
          <rPr>
            <sz val="9"/>
            <color indexed="81"/>
            <rFont val="Tahoma"/>
            <family val="2"/>
          </rPr>
          <t xml:space="preserve">) -  En el campo </t>
        </r>
        <r>
          <rPr>
            <b/>
            <sz val="9"/>
            <color indexed="81"/>
            <rFont val="Tahoma"/>
            <family val="2"/>
          </rPr>
          <t xml:space="preserve">Etapa Climaterio con valor Si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Ingreso, 
                                                                                                                                                              Reingreso,
                                                                                                                                                              Seguimiento</t>
        </r>
        <r>
          <rPr>
            <sz val="9"/>
            <color indexed="81"/>
            <rFont val="Tahoma"/>
            <family val="2"/>
          </rPr>
          <t xml:space="preserve"> 
3.- Ingresar el </t>
        </r>
        <r>
          <rPr>
            <b/>
            <sz val="9"/>
            <color indexed="81"/>
            <rFont val="Tahoma"/>
            <family val="2"/>
          </rPr>
          <t xml:space="preserve">Formulario Menopause Rating Scale (MRS) se registre:
          * </t>
        </r>
        <r>
          <rPr>
            <sz val="9"/>
            <color indexed="81"/>
            <rFont val="Tahoma"/>
            <family val="2"/>
          </rPr>
          <t xml:space="preserve">En el campo </t>
        </r>
        <r>
          <rPr>
            <b/>
            <sz val="9"/>
            <color indexed="81"/>
            <rFont val="Tahoma"/>
            <family val="2"/>
          </rPr>
          <t xml:space="preserve">Motivo :  </t>
        </r>
        <r>
          <rPr>
            <sz val="9"/>
            <color indexed="81"/>
            <rFont val="Tahoma"/>
            <family val="2"/>
          </rPr>
          <t>Tenga en valor de "</t>
        </r>
        <r>
          <rPr>
            <b/>
            <sz val="9"/>
            <color indexed="81"/>
            <rFont val="Tahoma"/>
            <family val="2"/>
          </rPr>
          <t>Control"</t>
        </r>
        <r>
          <rPr>
            <sz val="9"/>
            <color indexed="81"/>
            <rFont val="Tahoma"/>
            <family val="2"/>
          </rPr>
          <t xml:space="preserve">
        * En la </t>
        </r>
        <r>
          <rPr>
            <b/>
            <sz val="9"/>
            <color indexed="81"/>
            <rFont val="Tahoma"/>
            <family val="2"/>
          </rPr>
          <t>sección Resultado: (Por Atención)</t>
        </r>
        <r>
          <rPr>
            <sz val="9"/>
            <color indexed="81"/>
            <rFont val="Tahoma"/>
            <family val="2"/>
          </rPr>
          <t xml:space="preserve">  -  En el campo </t>
        </r>
        <r>
          <rPr>
            <b/>
            <sz val="9"/>
            <color indexed="81"/>
            <rFont val="Tahoma"/>
            <family val="2"/>
          </rPr>
          <t>Puntaje Total (MRS)</t>
        </r>
        <r>
          <rPr>
            <sz val="9"/>
            <color indexed="81"/>
            <rFont val="Tahoma"/>
            <family val="2"/>
          </rPr>
          <t>: tener un valor numerico</t>
        </r>
      </text>
    </comment>
    <comment ref="A88" authorId="4" shapeId="0" xr:uid="{A53BCE98-BFBC-4274-A850-D7A89981D1B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el campo</t>
        </r>
        <r>
          <rPr>
            <b/>
            <sz val="9"/>
            <color indexed="81"/>
            <rFont val="Tahoma"/>
            <family val="2"/>
          </rPr>
          <t xml:space="preserve"> Motivo :  </t>
        </r>
        <r>
          <rPr>
            <sz val="9"/>
            <color indexed="81"/>
            <rFont val="Tahoma"/>
            <family val="2"/>
          </rPr>
          <t>Tenga en valor de</t>
        </r>
        <r>
          <rPr>
            <b/>
            <sz val="9"/>
            <color indexed="81"/>
            <rFont val="Tahoma"/>
            <family val="2"/>
          </rPr>
          <t xml:space="preserve"> "Ingreso" o "Control"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mayor o igual a 15 
</t>
        </r>
      </text>
    </comment>
    <comment ref="A89" authorId="4" shapeId="0" xr:uid="{44DF6AB5-5A1D-49C4-989B-138648B2641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Estradiol Micronizado 1mg, 
                                                                                                                                                    Estradiol Gel,
                                                                                                                                                    Progesterona Micronizada 100mg,
                                                                                                                                                    Progesterona Micronizada 200mg,
                                                                                                                                                    Nomegestrol 5mg comp.,
                                                                                                                                                    Tibolona 2,5mg comp.,
                                                                                                                                                    Terapia Dual
</t>
        </r>
        <r>
          <rPr>
            <sz val="9"/>
            <color indexed="81"/>
            <rFont val="Tahoma"/>
            <family val="2"/>
          </rPr>
          <t>3.- Ingresar el Formulario</t>
        </r>
        <r>
          <rPr>
            <b/>
            <sz val="9"/>
            <color indexed="81"/>
            <rFont val="Tahoma"/>
            <family val="2"/>
          </rPr>
          <t xml:space="preserve"> Menopause Rating Scale (MRS) se registre:
        * </t>
        </r>
        <r>
          <rPr>
            <sz val="9"/>
            <color indexed="81"/>
            <rFont val="Tahoma"/>
            <family val="2"/>
          </rPr>
          <t>En el campo</t>
        </r>
        <r>
          <rPr>
            <b/>
            <sz val="9"/>
            <color indexed="81"/>
            <rFont val="Tahoma"/>
            <family val="2"/>
          </rPr>
          <t xml:space="preserve"> Motivo :  </t>
        </r>
        <r>
          <rPr>
            <sz val="9"/>
            <color indexed="81"/>
            <rFont val="Tahoma"/>
            <family val="2"/>
          </rPr>
          <t>Tenga en valor de</t>
        </r>
        <r>
          <rPr>
            <b/>
            <sz val="9"/>
            <color indexed="81"/>
            <rFont val="Tahoma"/>
            <family val="2"/>
          </rPr>
          <t xml:space="preserve"> "Ingreso" o "Control"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90" authorId="4" shapeId="0" xr:uid="{73CF94CA-47C8-4852-A22C-DE747F66870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Estradiol Micronizado 1mg, 
                                                                                                                                                    Estradiol Gel,
                                                                                                                                                    Progesterona Micronizada 100mg,
                                                                                                                                                    Progesterona Micronizada 200mg,
                                                                                                                                                    Nomegestrol 5mg comp.,
                                                                                                                                                    Tibolona 2,5mg comp.,
                                                                                                                                                    Terapia Dual
</t>
        </r>
        <r>
          <rPr>
            <sz val="9"/>
            <color indexed="81"/>
            <rFont val="Tahoma"/>
            <family val="2"/>
          </rPr>
          <t>3.- Ingresar el Formulario</t>
        </r>
        <r>
          <rPr>
            <b/>
            <sz val="9"/>
            <color indexed="81"/>
            <rFont val="Tahoma"/>
            <family val="2"/>
          </rPr>
          <t xml:space="preserve"> Menopause Rating Scale (MRS) se registre:
        * </t>
        </r>
        <r>
          <rPr>
            <sz val="9"/>
            <color indexed="81"/>
            <rFont val="Tahoma"/>
            <family val="2"/>
          </rPr>
          <t>En el campo</t>
        </r>
        <r>
          <rPr>
            <b/>
            <sz val="9"/>
            <color indexed="81"/>
            <rFont val="Tahoma"/>
            <family val="2"/>
          </rPr>
          <t xml:space="preserve"> Motivo :  </t>
        </r>
        <r>
          <rPr>
            <sz val="9"/>
            <color indexed="81"/>
            <rFont val="Tahoma"/>
            <family val="2"/>
          </rPr>
          <t>Tenga en valor de</t>
        </r>
        <r>
          <rPr>
            <b/>
            <sz val="9"/>
            <color indexed="81"/>
            <rFont val="Tahoma"/>
            <family val="2"/>
          </rPr>
          <t xml:space="preserve"> "Ingreso" o "Control"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El resultado de esta disminuye en relación con la medición anterior o que la medición se mantenga con un puntaje bajo.  
(Valores Referencia:  Puntaje Total menor a 15 puntos o en el campo dominio somático menor a 8 puntos, o dominio psicológico menor a 6 puntos, o dominio urogenital menor a 3 puntos.     </t>
        </r>
        <r>
          <rPr>
            <b/>
            <sz val="9"/>
            <color indexed="81"/>
            <rFont val="Tahoma"/>
            <family val="2"/>
          </rPr>
          <t xml:space="preserve">
</t>
        </r>
      </text>
    </comment>
    <comment ref="A91" authorId="4" shapeId="0" xr:uid="{85F69D3E-FCAA-4545-A89F-C1EF9621CA9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 xml:space="preserve">el Módulo Atención - Registro de Atenciones Grupales
</t>
        </r>
        <r>
          <rPr>
            <sz val="9"/>
            <color indexed="81"/>
            <rFont val="Tahoma"/>
            <family val="2"/>
          </rPr>
          <t xml:space="preserve"> 1.- Marcar el listado de usuarios citados</t>
        </r>
        <r>
          <rPr>
            <b/>
            <sz val="9"/>
            <color indexed="81"/>
            <rFont val="Tahoma"/>
            <family val="2"/>
          </rPr>
          <t xml:space="preserve"> "Asiste"</t>
        </r>
        <r>
          <rPr>
            <sz val="9"/>
            <color indexed="81"/>
            <rFont val="Tahoma"/>
            <family val="2"/>
          </rPr>
          <t xml:space="preserve">.
 2.- Seleccionar </t>
        </r>
        <r>
          <rPr>
            <b/>
            <sz val="9"/>
            <color indexed="81"/>
            <rFont val="Tahoma"/>
            <family val="2"/>
          </rPr>
          <t xml:space="preserve">un tipo de participante
</t>
        </r>
        <r>
          <rPr>
            <sz val="9"/>
            <color indexed="81"/>
            <rFont val="Tahoma"/>
            <family val="2"/>
          </rPr>
          <t xml:space="preserve"> 3.- Registrar la actividad</t>
        </r>
        <r>
          <rPr>
            <b/>
            <sz val="9"/>
            <color indexed="81"/>
            <rFont val="Tahoma"/>
            <family val="2"/>
          </rPr>
          <t xml:space="preserve"> Taller Educativo - Mujeres en Control Climaterio</t>
        </r>
        <r>
          <rPr>
            <sz val="9"/>
            <color indexed="81"/>
            <rFont val="Tahoma"/>
            <family val="2"/>
          </rPr>
          <t xml:space="preserve">
 </t>
        </r>
        <r>
          <rPr>
            <b/>
            <sz val="9"/>
            <color indexed="81"/>
            <rFont val="Tahoma"/>
            <family val="2"/>
          </rPr>
          <t xml:space="preserve">
Nota: cuenta cantidad de personas</t>
        </r>
      </text>
    </comment>
    <comment ref="I94" authorId="0" shapeId="0" xr:uid="{A5E66B2D-C766-4712-B0D8-E1FF00B25E4D}">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J94" authorId="4" shapeId="0" xr:uid="{7928946D-593E-4065-ABD6-5CC11960CA01}">
      <text>
        <r>
          <rPr>
            <sz val="9"/>
            <color indexed="81"/>
            <rFont val="Tahoma"/>
            <family val="2"/>
          </rPr>
          <t>Se contabilizara a los pacientes que tengan en  Antecedentes del usuario APS / Pestaña "Identificacion"  Item  Alertas Adm.</t>
        </r>
        <r>
          <rPr>
            <b/>
            <sz val="9"/>
            <color indexed="81"/>
            <rFont val="Tahoma"/>
            <family val="2"/>
          </rPr>
          <t xml:space="preserve">  "MIGRANTES"</t>
        </r>
      </text>
    </comment>
    <comment ref="A96" authorId="4" shapeId="0" xr:uid="{B8B50BE7-3FE7-45A8-8F29-5FACF50F009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Estradiol Micronizado 1mg,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B97" authorId="4" shapeId="0" xr:uid="{3360084F-4D9A-4478-A541-56E58FDC841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Estradiol Gel,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98" authorId="4" shapeId="0" xr:uid="{8E4D3E13-DA58-4285-8036-DDD3F445195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Progesterona Micronizada 100mg,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99" authorId="4" shapeId="0" xr:uid="{21FC997A-BCBD-4CBF-9D7C-297AD930893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Progesterona Micronizada 200mg,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100" authorId="4" shapeId="0" xr:uid="{87015D66-6667-46A9-830E-D6FDCCF871A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Nomegestrol 5mg comp.,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101" authorId="4" shapeId="0" xr:uid="{2D4EECEF-5D37-4AE7-AA5F-4BE4F689FEC5}">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 xml:space="preserve">con alguno de los valores </t>
        </r>
        <r>
          <rPr>
            <b/>
            <sz val="9"/>
            <color indexed="81"/>
            <rFont val="Tahoma"/>
            <family val="2"/>
          </rPr>
          <t xml:space="preserve">Tibolona 2,5mg comp.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A102" authorId="4" shapeId="0" xr:uid="{9209D50A-825A-42C9-86C2-42568A913D5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xml:space="preserve">- Matrona
                                                                                                    - Nutricionista
</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No aplica, 
                                                                                                                                                                       No gestante,
                                                                                                                                                                       Climaterica
</t>
        </r>
        <r>
          <rPr>
            <sz val="9"/>
            <color indexed="81"/>
            <rFont val="Tahoma"/>
            <family val="2"/>
          </rPr>
          <t xml:space="preserve">
 2.- Ingresar el Formulario </t>
        </r>
        <r>
          <rPr>
            <b/>
            <sz val="9"/>
            <color indexed="81"/>
            <rFont val="Tahoma"/>
            <family val="2"/>
          </rPr>
          <t>Control de Ginecología</t>
        </r>
        <r>
          <rPr>
            <sz val="9"/>
            <color indexed="81"/>
            <rFont val="Tahoma"/>
            <family val="2"/>
          </rPr>
          <t xml:space="preserve"> se registre:
        * En la sección</t>
        </r>
        <r>
          <rPr>
            <b/>
            <sz val="9"/>
            <color indexed="81"/>
            <rFont val="Tahoma"/>
            <family val="2"/>
          </rPr>
          <t xml:space="preserve"> Próximo Control (Por Atención)  -  </t>
        </r>
        <r>
          <rPr>
            <sz val="9"/>
            <color indexed="81"/>
            <rFont val="Tahoma"/>
            <family val="2"/>
          </rPr>
          <t xml:space="preserve">En el campo </t>
        </r>
        <r>
          <rPr>
            <b/>
            <sz val="9"/>
            <color indexed="81"/>
            <rFont val="Tahoma"/>
            <family val="2"/>
          </rPr>
          <t xml:space="preserve">Fecha Próximo Control </t>
        </r>
        <r>
          <rPr>
            <sz val="9"/>
            <color indexed="81"/>
            <rFont val="Tahoma"/>
            <family val="2"/>
          </rPr>
          <t xml:space="preserve">tener un valor fecha aproximada de citación al programa, si luego de esta fecha transcurren 29 días el paciente quedara inasistente al control.                                                                                 </t>
        </r>
        <r>
          <rPr>
            <b/>
            <sz val="9"/>
            <color indexed="81"/>
            <rFont val="Tahoma"/>
            <family val="2"/>
          </rPr>
          <t xml:space="preserve">
        * </t>
        </r>
        <r>
          <rPr>
            <sz val="9"/>
            <color indexed="81"/>
            <rFont val="Tahoma"/>
            <family val="2"/>
          </rPr>
          <t>En la sección</t>
        </r>
        <r>
          <rPr>
            <b/>
            <sz val="9"/>
            <color indexed="81"/>
            <rFont val="Tahoma"/>
            <family val="2"/>
          </rPr>
          <t xml:space="preserve"> Climaterio (Por Atención) -  </t>
        </r>
        <r>
          <rPr>
            <sz val="9"/>
            <color indexed="81"/>
            <rFont val="Tahoma"/>
            <family val="2"/>
          </rPr>
          <t xml:space="preserve">En el campo </t>
        </r>
        <r>
          <rPr>
            <b/>
            <sz val="9"/>
            <color indexed="81"/>
            <rFont val="Tahoma"/>
            <family val="2"/>
          </rPr>
          <t xml:space="preserve">Etapa Climaterio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Estado </t>
        </r>
        <r>
          <rPr>
            <sz val="9"/>
            <color indexed="81"/>
            <rFont val="Tahoma"/>
            <family val="2"/>
          </rPr>
          <t xml:space="preserve">con alguno de los valores </t>
        </r>
        <r>
          <rPr>
            <b/>
            <sz val="9"/>
            <color indexed="81"/>
            <rFont val="Tahoma"/>
            <family val="2"/>
          </rPr>
          <t xml:space="preserve">Ingreso, 
                                                                                                                                         Reingreso,
                                                                                                                                         Seguimiento 
                                                                     -  </t>
        </r>
        <r>
          <rPr>
            <sz val="9"/>
            <color indexed="81"/>
            <rFont val="Tahoma"/>
            <family val="2"/>
          </rPr>
          <t>En el campo</t>
        </r>
        <r>
          <rPr>
            <b/>
            <sz val="9"/>
            <color indexed="81"/>
            <rFont val="Tahoma"/>
            <family val="2"/>
          </rPr>
          <t xml:space="preserve"> De Reemplazo </t>
        </r>
        <r>
          <rPr>
            <sz val="9"/>
            <color indexed="81"/>
            <rFont val="Tahoma"/>
            <family val="2"/>
          </rPr>
          <t>con alguno de los valores</t>
        </r>
        <r>
          <rPr>
            <b/>
            <sz val="9"/>
            <color indexed="81"/>
            <rFont val="Tahoma"/>
            <family val="2"/>
          </rPr>
          <t xml:space="preserve"> Terapia Dual
</t>
        </r>
        <r>
          <rPr>
            <sz val="9"/>
            <color indexed="81"/>
            <rFont val="Tahoma"/>
            <family val="2"/>
          </rPr>
          <t>3.- Ingresar el Formulario</t>
        </r>
        <r>
          <rPr>
            <b/>
            <sz val="9"/>
            <color indexed="81"/>
            <rFont val="Tahoma"/>
            <family val="2"/>
          </rPr>
          <t xml:space="preserve"> Menopause Rating Scale (MRS) se registre:
        *</t>
        </r>
        <r>
          <rPr>
            <sz val="9"/>
            <color indexed="81"/>
            <rFont val="Tahoma"/>
            <family val="2"/>
          </rPr>
          <t xml:space="preserve"> En la</t>
        </r>
        <r>
          <rPr>
            <b/>
            <sz val="9"/>
            <color indexed="81"/>
            <rFont val="Tahoma"/>
            <family val="2"/>
          </rPr>
          <t xml:space="preserve"> sección Resultado: (Por Atención)  - </t>
        </r>
        <r>
          <rPr>
            <sz val="9"/>
            <color indexed="81"/>
            <rFont val="Tahoma"/>
            <family val="2"/>
          </rPr>
          <t xml:space="preserve"> En el campo </t>
        </r>
        <r>
          <rPr>
            <b/>
            <sz val="9"/>
            <color indexed="81"/>
            <rFont val="Tahoma"/>
            <family val="2"/>
          </rPr>
          <t>Puntaje Total (MRS)</t>
        </r>
        <r>
          <rPr>
            <sz val="9"/>
            <color indexed="81"/>
            <rFont val="Tahoma"/>
            <family val="2"/>
          </rPr>
          <t xml:space="preserve">: tener un valor </t>
        </r>
        <r>
          <rPr>
            <b/>
            <sz val="9"/>
            <color indexed="81"/>
            <rFont val="Tahoma"/>
            <family val="2"/>
          </rPr>
          <t xml:space="preserve">numerico 
</t>
        </r>
      </text>
    </comment>
    <comment ref="D104" authorId="4" shapeId="0" xr:uid="{EE10F67B-AD90-4352-9F18-B5673633F9A9}">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Segundo Trimestre 22 -24 semanas</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E104" authorId="4" shapeId="0" xr:uid="{FC6160AE-3390-4D8C-A9B2-437F523EDA1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Tercer Trimestre 30 – 34 semanas</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B105" authorId="4" shapeId="0" xr:uid="{CA35989B-79DE-4338-88BF-BDB6FE448E9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Primer Trimestre &lt; 11 semanas</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C105" authorId="4" shapeId="0" xr:uid="{D7DCAD76-E652-4B42-A386-94E910F5AE9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Primer Trimestre 11 – 13+6 semanas</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B116" authorId="4" shapeId="0" xr:uid="{6DE17331-3F2C-42F4-9E56-898D1D2C2D3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 xml:space="preserve">Primer Trimestre &lt; 11 semanas
* </t>
        </r>
        <r>
          <rPr>
            <sz val="9"/>
            <color indexed="81"/>
            <rFont val="Tahoma"/>
            <family val="2"/>
          </rPr>
          <t>En la seccion</t>
        </r>
        <r>
          <rPr>
            <b/>
            <sz val="9"/>
            <color indexed="81"/>
            <rFont val="Tahoma"/>
            <family val="2"/>
          </rPr>
          <t xml:space="preserve"> Ecografia Obstetrica;  </t>
        </r>
        <r>
          <rPr>
            <sz val="9"/>
            <color indexed="81"/>
            <rFont val="Tahoma"/>
            <family val="2"/>
          </rPr>
          <t>en la pregunta</t>
        </r>
        <r>
          <rPr>
            <b/>
            <sz val="9"/>
            <color indexed="81"/>
            <rFont val="Tahoma"/>
            <family val="2"/>
          </rPr>
          <t xml:space="preserve"> ¿Con ecografia de Extrasistema) ,</t>
        </r>
        <r>
          <rPr>
            <sz val="9"/>
            <color indexed="81"/>
            <rFont val="Tahoma"/>
            <family val="2"/>
          </rPr>
          <t xml:space="preserve"> tenga el valo</t>
        </r>
        <r>
          <rPr>
            <b/>
            <sz val="9"/>
            <color indexed="81"/>
            <rFont val="Tahoma"/>
            <family val="2"/>
          </rPr>
          <t xml:space="preserve">r "SI" </t>
        </r>
        <r>
          <rPr>
            <sz val="9"/>
            <color indexed="81"/>
            <rFont val="Tahoma"/>
            <family val="2"/>
          </rPr>
          <t>registrado</t>
        </r>
        <r>
          <rPr>
            <b/>
            <sz val="9"/>
            <color indexed="81"/>
            <rFont val="Tahoma"/>
            <family val="2"/>
          </rPr>
          <t xml:space="preserve">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C116" authorId="4" shapeId="0" xr:uid="{26D21029-84C7-4F5E-B32F-AB0A91BBB515}">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 xml:space="preserve">Primer Trimestre 11 – 13+6 semanas
    * </t>
        </r>
        <r>
          <rPr>
            <sz val="9"/>
            <color indexed="81"/>
            <rFont val="Tahoma"/>
            <family val="2"/>
          </rPr>
          <t>En la seccion</t>
        </r>
        <r>
          <rPr>
            <b/>
            <sz val="9"/>
            <color indexed="81"/>
            <rFont val="Tahoma"/>
            <family val="2"/>
          </rPr>
          <t xml:space="preserve"> Ecografia Obstetrica;  </t>
        </r>
        <r>
          <rPr>
            <sz val="9"/>
            <color indexed="81"/>
            <rFont val="Tahoma"/>
            <family val="2"/>
          </rPr>
          <t>en la pregunta</t>
        </r>
        <r>
          <rPr>
            <b/>
            <sz val="9"/>
            <color indexed="81"/>
            <rFont val="Tahoma"/>
            <family val="2"/>
          </rPr>
          <t xml:space="preserve"> ¿Con ecografia de Extrasistema) ,</t>
        </r>
        <r>
          <rPr>
            <sz val="9"/>
            <color indexed="81"/>
            <rFont val="Tahoma"/>
            <family val="2"/>
          </rPr>
          <t xml:space="preserve"> tenga el valor</t>
        </r>
        <r>
          <rPr>
            <b/>
            <sz val="9"/>
            <color indexed="81"/>
            <rFont val="Tahoma"/>
            <family val="2"/>
          </rPr>
          <t xml:space="preserve"> "SI" </t>
        </r>
        <r>
          <rPr>
            <sz val="9"/>
            <color indexed="81"/>
            <rFont val="Tahoma"/>
            <family val="2"/>
          </rPr>
          <t xml:space="preserve">registrado </t>
        </r>
        <r>
          <rPr>
            <b/>
            <sz val="9"/>
            <color indexed="81"/>
            <rFont val="Tahoma"/>
            <family val="2"/>
          </rPr>
          <t xml:space="preserve">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D116" authorId="4" shapeId="0" xr:uid="{C39A8D2E-B07F-4CC7-A07F-916C47DAA6DC}">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 xml:space="preserve">Segundo Trimestre 22 -24 semanas
 * </t>
        </r>
        <r>
          <rPr>
            <sz val="9"/>
            <color indexed="81"/>
            <rFont val="Tahoma"/>
            <family val="2"/>
          </rPr>
          <t>En la seccion</t>
        </r>
        <r>
          <rPr>
            <b/>
            <sz val="9"/>
            <color indexed="81"/>
            <rFont val="Tahoma"/>
            <family val="2"/>
          </rPr>
          <t xml:space="preserve"> Ecografia Obstetrica; </t>
        </r>
        <r>
          <rPr>
            <sz val="9"/>
            <color indexed="81"/>
            <rFont val="Tahoma"/>
            <family val="2"/>
          </rPr>
          <t xml:space="preserve"> en la pregunta</t>
        </r>
        <r>
          <rPr>
            <b/>
            <sz val="9"/>
            <color indexed="81"/>
            <rFont val="Tahoma"/>
            <family val="2"/>
          </rPr>
          <t xml:space="preserve"> ¿Con ecografia de Extrasistema) , </t>
        </r>
        <r>
          <rPr>
            <sz val="9"/>
            <color indexed="81"/>
            <rFont val="Tahoma"/>
            <family val="2"/>
          </rPr>
          <t>tenga el valor</t>
        </r>
        <r>
          <rPr>
            <b/>
            <sz val="9"/>
            <color indexed="81"/>
            <rFont val="Tahoma"/>
            <family val="2"/>
          </rPr>
          <t xml:space="preserve"> "SI" </t>
        </r>
        <r>
          <rPr>
            <sz val="9"/>
            <color indexed="81"/>
            <rFont val="Tahoma"/>
            <family val="2"/>
          </rPr>
          <t xml:space="preserve">registrado </t>
        </r>
        <r>
          <rPr>
            <b/>
            <sz val="9"/>
            <color indexed="81"/>
            <rFont val="Tahoma"/>
            <family val="2"/>
          </rPr>
          <t xml:space="preserve">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E116" authorId="4" shapeId="0" xr:uid="{787AD56B-06B8-4B98-837D-C5AF82B5B825}">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Imagenología (Por Atención) </t>
        </r>
        <r>
          <rPr>
            <sz val="9"/>
            <color indexed="81"/>
            <rFont val="Tahoma"/>
            <family val="2"/>
          </rPr>
          <t xml:space="preserve"> --&gt;</t>
        </r>
        <r>
          <rPr>
            <b/>
            <sz val="9"/>
            <color indexed="81"/>
            <rFont val="Tahoma"/>
            <family val="2"/>
          </rPr>
          <t xml:space="preserve"> Ecografía Obstétrica (Por Atención)</t>
        </r>
        <r>
          <rPr>
            <sz val="9"/>
            <color indexed="81"/>
            <rFont val="Tahoma"/>
            <family val="2"/>
          </rPr>
          <t xml:space="preserve"> 
                                                                                                        -  En el campo </t>
        </r>
        <r>
          <rPr>
            <b/>
            <sz val="9"/>
            <color indexed="81"/>
            <rFont val="Tahoma"/>
            <family val="2"/>
          </rPr>
          <t xml:space="preserve">Indique Trimestre de gestación </t>
        </r>
        <r>
          <rPr>
            <sz val="9"/>
            <color indexed="81"/>
            <rFont val="Tahoma"/>
            <family val="2"/>
          </rPr>
          <t xml:space="preserve">con valor </t>
        </r>
        <r>
          <rPr>
            <b/>
            <sz val="9"/>
            <color indexed="81"/>
            <rFont val="Tahoma"/>
            <family val="2"/>
          </rPr>
          <t xml:space="preserve">Tercer Trimestre 30 – 34 semanas
           * </t>
        </r>
        <r>
          <rPr>
            <sz val="9"/>
            <color indexed="81"/>
            <rFont val="Tahoma"/>
            <family val="2"/>
          </rPr>
          <t>En la seccion</t>
        </r>
        <r>
          <rPr>
            <b/>
            <sz val="9"/>
            <color indexed="81"/>
            <rFont val="Tahoma"/>
            <family val="2"/>
          </rPr>
          <t xml:space="preserve"> Ecografia Obstetrica;  </t>
        </r>
        <r>
          <rPr>
            <sz val="9"/>
            <color indexed="81"/>
            <rFont val="Tahoma"/>
            <family val="2"/>
          </rPr>
          <t xml:space="preserve">en la pregunta </t>
        </r>
        <r>
          <rPr>
            <b/>
            <sz val="9"/>
            <color indexed="81"/>
            <rFont val="Tahoma"/>
            <family val="2"/>
          </rPr>
          <t>¿Con ecografia de Extrasistema) ,</t>
        </r>
        <r>
          <rPr>
            <sz val="9"/>
            <color indexed="81"/>
            <rFont val="Tahoma"/>
            <family val="2"/>
          </rPr>
          <t xml:space="preserve"> tenga el valor </t>
        </r>
        <r>
          <rPr>
            <b/>
            <sz val="9"/>
            <color indexed="81"/>
            <rFont val="Tahoma"/>
            <family val="2"/>
          </rPr>
          <t xml:space="preserve">"SI" </t>
        </r>
        <r>
          <rPr>
            <sz val="9"/>
            <color indexed="81"/>
            <rFont val="Tahoma"/>
            <family val="2"/>
          </rPr>
          <t xml:space="preserve">registrado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B120" authorId="4" shapeId="0" xr:uid="{1750F6AD-5C44-4DA1-8E63-EF20B7C679A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Obesidad,                                                                                                                                                             
                                                                                                                                                                 Obesidad Severa,
                                                                                                  </t>
        </r>
        <r>
          <rPr>
            <sz val="9"/>
            <color indexed="81"/>
            <rFont val="Tahoma"/>
            <family val="2"/>
          </rPr>
          <t xml:space="preserve">
</t>
        </r>
      </text>
    </comment>
    <comment ref="B121" authorId="4" shapeId="0" xr:uid="{F5B729A3-3940-489F-90D4-9BBA8EA83526}">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Sobrepeso
                                                                                                    </t>
        </r>
        <r>
          <rPr>
            <sz val="9"/>
            <color indexed="81"/>
            <rFont val="Tahoma"/>
            <family val="2"/>
          </rPr>
          <t xml:space="preserve">
</t>
        </r>
      </text>
    </comment>
    <comment ref="B122" authorId="4" shapeId="0" xr:uid="{53891891-81D1-4AA9-A1A0-9019D8C18B0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 </t>
        </r>
        <r>
          <rPr>
            <b/>
            <sz val="9"/>
            <color indexed="81"/>
            <rFont val="Tahoma"/>
            <family val="2"/>
          </rPr>
          <t xml:space="preserve">Normal o Eutrófico,
                                                                                                                                                                 Normal                                                                                                        </t>
        </r>
        <r>
          <rPr>
            <sz val="9"/>
            <color indexed="81"/>
            <rFont val="Tahoma"/>
            <family val="2"/>
          </rPr>
          <t xml:space="preserve">
</t>
        </r>
      </text>
    </comment>
    <comment ref="B123" authorId="4" shapeId="0" xr:uid="{33D77BC4-A283-401C-9847-83658EFF27D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 xml:space="preserve">ciclo vital </t>
        </r>
        <r>
          <rPr>
            <sz val="9"/>
            <color indexed="81"/>
            <rFont val="Tahoma"/>
            <family val="2"/>
          </rPr>
          <t xml:space="preserve">de la atencion o en el anamnesis el </t>
        </r>
        <r>
          <rPr>
            <b/>
            <sz val="9"/>
            <color indexed="81"/>
            <rFont val="Tahoma"/>
            <family val="2"/>
          </rPr>
          <t xml:space="preserve">ciclo vital </t>
        </r>
        <r>
          <rPr>
            <sz val="9"/>
            <color indexed="81"/>
            <rFont val="Tahoma"/>
            <family val="2"/>
          </rPr>
          <t xml:space="preserve">ó </t>
        </r>
        <r>
          <rPr>
            <b/>
            <sz val="9"/>
            <color indexed="81"/>
            <rFont val="Tahoma"/>
            <family val="2"/>
          </rPr>
          <t>etapa</t>
        </r>
        <r>
          <rPr>
            <sz val="9"/>
            <color indexed="81"/>
            <rFont val="Tahoma"/>
            <family val="2"/>
          </rPr>
          <t xml:space="preserve"> con alguno de los valores </t>
        </r>
        <r>
          <rPr>
            <b/>
            <sz val="9"/>
            <color indexed="81"/>
            <rFont val="Tahoma"/>
            <family val="2"/>
          </rPr>
          <t>No aplica, 
                                                                                                                                                                        No gestante,
                                                                                                                                                                        Puerpera,
                                                                                                                                                                        Climaterica</t>
        </r>
        <r>
          <rPr>
            <sz val="9"/>
            <color indexed="81"/>
            <rFont val="Tahoma"/>
            <family val="2"/>
          </rPr>
          <t xml:space="preserve">
 2.- Ingresar el Formulario </t>
        </r>
        <r>
          <rPr>
            <b/>
            <sz val="9"/>
            <color indexed="81"/>
            <rFont val="Tahoma"/>
            <family val="2"/>
          </rPr>
          <t>Regulación Fecundidad (Paternidad Responsable)</t>
        </r>
        <r>
          <rPr>
            <sz val="9"/>
            <color indexed="81"/>
            <rFont val="Tahoma"/>
            <family val="2"/>
          </rPr>
          <t xml:space="preserve"> se registre:
        * En la sección</t>
        </r>
        <r>
          <rPr>
            <b/>
            <sz val="9"/>
            <color indexed="81"/>
            <rFont val="Tahoma"/>
            <family val="2"/>
          </rPr>
          <t xml:space="preserve"> Metodo Anticonceptivo (Por Atención) --&gt; Método Anticonceptivo Actual  (Por Atención)   
                                                                                           - </t>
        </r>
        <r>
          <rPr>
            <sz val="9"/>
            <color indexed="81"/>
            <rFont val="Tahoma"/>
            <family val="2"/>
          </rPr>
          <t xml:space="preserve"> En el campo </t>
        </r>
        <r>
          <rPr>
            <b/>
            <sz val="9"/>
            <color indexed="81"/>
            <rFont val="Tahoma"/>
            <family val="2"/>
          </rPr>
          <t>MAC</t>
        </r>
        <r>
          <rPr>
            <sz val="9"/>
            <color indexed="81"/>
            <rFont val="Tahoma"/>
            <family val="2"/>
          </rPr>
          <t xml:space="preserve"> con alguno de los valores </t>
        </r>
        <r>
          <rPr>
            <b/>
            <sz val="9"/>
            <color indexed="81"/>
            <rFont val="Tahoma"/>
            <family val="2"/>
          </rPr>
          <t xml:space="preserve">Anillo Vaginal
                                                                                                                                                            DIU T de Cobre,
                                                                                                                                                            Esterilización Quirúrgica,
                                                                                                                                                            Progestágenos Puros,
                                                                                                                                                            Preservativos,
                                                                                                                                                            Inyectable Combinado Mensual,
                                                                                                                                                            Inyectable Combinado Trimestral,
                                                                                                                                                            Inyectable Progestágeno Mensual,
                                                                                                                                                            Inyectable Progestágeno Trimestral,
                                                                                                                                                            Oral Combinado,
                                                                                                                                                            Diu Medicado,
                                                                                                                                                            Implante Etonogestrel,
                                                                                                                                                            Implante Levonorgestrel,
                                                                                                                                                            Diu con Levonosgestrel,
</t>
        </r>
        <r>
          <rPr>
            <sz val="9"/>
            <color indexed="81"/>
            <rFont val="Tahoma"/>
            <family val="2"/>
          </rPr>
          <t xml:space="preserve">                                                                                           -  En el campo </t>
        </r>
        <r>
          <rPr>
            <b/>
            <sz val="9"/>
            <color indexed="81"/>
            <rFont val="Tahoma"/>
            <family val="2"/>
          </rPr>
          <t>Estado</t>
        </r>
        <r>
          <rPr>
            <sz val="9"/>
            <color indexed="81"/>
            <rFont val="Tahoma"/>
            <family val="2"/>
          </rPr>
          <t xml:space="preserve"> con alguno de los valores </t>
        </r>
        <r>
          <rPr>
            <b/>
            <sz val="9"/>
            <color indexed="81"/>
            <rFont val="Tahoma"/>
            <family val="2"/>
          </rPr>
          <t xml:space="preserve">Ingreso, 
                                                                                                                                                               Ingreso por cambio de Metodo,
                                                                                                                                                               Ingreso/Egreso Esterilización Quirúrgica,
                                                                                                                                                               Seguimiento 
        </t>
        </r>
        <r>
          <rPr>
            <sz val="9"/>
            <color indexed="81"/>
            <rFont val="Tahoma"/>
            <family val="2"/>
          </rPr>
          <t xml:space="preserve"> * En la sección </t>
        </r>
        <r>
          <rPr>
            <b/>
            <sz val="9"/>
            <color indexed="81"/>
            <rFont val="Tahoma"/>
            <family val="2"/>
          </rPr>
          <t>Regulación Fecundidad (Paternidad Responsable) (Por Atención) --&gt; Fecha del Próximo Control</t>
        </r>
        <r>
          <rPr>
            <sz val="9"/>
            <color indexed="81"/>
            <rFont val="Tahoma"/>
            <family val="2"/>
          </rPr>
          <t xml:space="preserve"> tener un valor mayor a la atención
</t>
        </r>
        <r>
          <rPr>
            <b/>
            <sz val="9"/>
            <color indexed="81"/>
            <rFont val="Tahoma"/>
            <family val="2"/>
          </rPr>
          <t xml:space="preserve">
         </t>
        </r>
        <r>
          <rPr>
            <sz val="9"/>
            <color indexed="81"/>
            <rFont val="Tahoma"/>
            <family val="2"/>
          </rPr>
          <t>* En la sección</t>
        </r>
        <r>
          <rPr>
            <b/>
            <sz val="9"/>
            <color indexed="81"/>
            <rFont val="Tahoma"/>
            <family val="2"/>
          </rPr>
          <t xml:space="preserve"> Antecedentes Generales (Por Atención) --&gt; Estado Nutricional</t>
        </r>
        <r>
          <rPr>
            <sz val="9"/>
            <color indexed="81"/>
            <rFont val="Tahoma"/>
            <family val="2"/>
          </rPr>
          <t xml:space="preserve"> con alguno de los valores</t>
        </r>
        <r>
          <rPr>
            <b/>
            <sz val="9"/>
            <color indexed="81"/>
            <rFont val="Tahoma"/>
            <family val="2"/>
          </rPr>
          <t xml:space="preserve"> Desnutrición, 
                                                                                                                                                                 Riesgo de Desnutrir,
                                                                                                                                                                 Bajo Peso   
                                                                                                   </t>
        </r>
        <r>
          <rPr>
            <sz val="9"/>
            <color indexed="81"/>
            <rFont val="Tahoma"/>
            <family val="2"/>
          </rPr>
          <t xml:space="preserve">
</t>
        </r>
      </text>
    </comment>
    <comment ref="B126" authorId="1" shapeId="0" xr:uid="{A8DCFF90-E387-4552-9598-B731E499090D}">
      <text>
        <r>
          <rPr>
            <sz val="9"/>
            <color indexed="81"/>
            <rFont val="Tahoma"/>
            <family val="2"/>
          </rPr>
          <t xml:space="preserve">Este dato aparecerá luego que en la atención registrada desde el </t>
        </r>
        <r>
          <rPr>
            <b/>
            <sz val="9"/>
            <color indexed="81"/>
            <rFont val="Tahoma"/>
            <family val="2"/>
          </rPr>
          <t>Módulo BOX - Pacientes Citados o desde Agregar Documentos.</t>
        </r>
        <r>
          <rPr>
            <sz val="9"/>
            <color indexed="81"/>
            <rFont val="Tahoma"/>
            <family val="2"/>
          </rPr>
          <t xml:space="preserve">
 1.- En la atención agregar el</t>
        </r>
        <r>
          <rPr>
            <b/>
            <sz val="9"/>
            <color indexed="81"/>
            <rFont val="Tahoma"/>
            <family val="2"/>
          </rPr>
          <t xml:space="preserve"> ciclo vital de la atencion o en el anamnesis el ciclo vital ó etapa </t>
        </r>
        <r>
          <rPr>
            <sz val="9"/>
            <color indexed="81"/>
            <rFont val="Tahoma"/>
            <family val="2"/>
          </rPr>
          <t xml:space="preserve">con alguno de los valores </t>
        </r>
        <r>
          <rPr>
            <b/>
            <sz val="9"/>
            <color indexed="81"/>
            <rFont val="Tahoma"/>
            <family val="2"/>
          </rPr>
          <t>Embarazada primigesta, 
                                                                                                                                                                                                           Embarazada</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 </t>
        </r>
        <r>
          <rPr>
            <b/>
            <sz val="9"/>
            <color indexed="81"/>
            <rFont val="Tahoma"/>
            <family val="2"/>
          </rPr>
          <t>Antecedentes Embarazo Actual  (Largo Alcance) --&gt; Resultado Evaluación Psicosocial Abreviada  (Largo Alcance)</t>
        </r>
        <r>
          <rPr>
            <sz val="9"/>
            <color indexed="81"/>
            <rFont val="Tahoma"/>
            <family val="2"/>
          </rPr>
          <t xml:space="preserve">
                                                                                                           -  En el campo</t>
        </r>
        <r>
          <rPr>
            <b/>
            <sz val="9"/>
            <color indexed="81"/>
            <rFont val="Tahoma"/>
            <family val="2"/>
          </rPr>
          <t xml:space="preserve"> Riesgo Psicosocial </t>
        </r>
        <r>
          <rPr>
            <sz val="9"/>
            <color indexed="81"/>
            <rFont val="Tahoma"/>
            <family val="2"/>
          </rPr>
          <t xml:space="preserve">con valor </t>
        </r>
        <r>
          <rPr>
            <b/>
            <sz val="9"/>
            <color indexed="81"/>
            <rFont val="Tahoma"/>
            <family val="2"/>
          </rPr>
          <t>Si ó No</t>
        </r>
        <r>
          <rPr>
            <sz val="9"/>
            <color indexed="81"/>
            <rFont val="Tahoma"/>
            <family val="2"/>
          </rPr>
          <t xml:space="preserve">
        * En la sección </t>
        </r>
        <r>
          <rPr>
            <b/>
            <sz val="9"/>
            <color indexed="81"/>
            <rFont val="Tahoma"/>
            <family val="2"/>
          </rPr>
          <t>Resultados Control Prenatal (Por Atención)</t>
        </r>
        <r>
          <rPr>
            <sz val="9"/>
            <color indexed="81"/>
            <rFont val="Tahoma"/>
            <family val="2"/>
          </rPr>
          <t xml:space="preserve">
                                                                                           -  En el campo Estado Nutricional con alguno de los valores </t>
        </r>
        <r>
          <rPr>
            <b/>
            <sz val="9"/>
            <color indexed="81"/>
            <rFont val="Tahoma"/>
            <family val="2"/>
          </rPr>
          <t>Desnutrición,
                                                                                                                                                                                                         Riesgo de Desnutrir,
                                                                                                                                                                                                         Normal o Eutrófico,
                                                                                                                                                                                                          Sobrepeso,
                                                                                                                                                                                                          Obesidad,
                                                                                                                                                                                                          Obesidad Severa</t>
        </r>
        <r>
          <rPr>
            <sz val="9"/>
            <color indexed="81"/>
            <rFont val="Tahoma"/>
            <family val="2"/>
          </rPr>
          <t xml:space="preserve">
                                                                                            ó</t>
        </r>
        <r>
          <rPr>
            <b/>
            <sz val="9"/>
            <color indexed="81"/>
            <rFont val="Tahoma"/>
            <family val="2"/>
          </rPr>
          <t xml:space="preserve">
                                                                                           -  </t>
        </r>
        <r>
          <rPr>
            <sz val="9"/>
            <color indexed="81"/>
            <rFont val="Tahoma"/>
            <family val="2"/>
          </rPr>
          <t xml:space="preserve">En el campo Diagnóstico nutricional con alguno de los valores Bajo Peso,
                                                                                                                                                                                        </t>
        </r>
        <r>
          <rPr>
            <b/>
            <sz val="9"/>
            <color indexed="81"/>
            <rFont val="Tahoma"/>
            <family val="2"/>
          </rPr>
          <t>Normal,
                                                                                                                                                                                                                            Obesidad,
                                                                                                                                                                                                                            Sobrepeso,
                                                                                                                                                                                                                            Desnutrición,
                                                                                                                                                                                                                            Riesgo de Desnutrir,
                                                                                                                                                                                                                             Normal o Eutrófico,
                                                                                                                                                                                                                             Obesidad Severa</t>
        </r>
        <r>
          <rPr>
            <sz val="9"/>
            <color indexed="81"/>
            <rFont val="Tahoma"/>
            <family val="2"/>
          </rPr>
          <t xml:space="preserve">                                                                                                                                                                        
   -  En el campo </t>
        </r>
        <r>
          <rPr>
            <b/>
            <sz val="9"/>
            <color indexed="81"/>
            <rFont val="Tahoma"/>
            <family val="2"/>
          </rPr>
          <t>Fecha del Próximo Control tener un valor fecha aproximada de citación al programa, si luego de esta fecha transcurren 29 días el paciente quedara inasistente al control.</t>
        </r>
        <r>
          <rPr>
            <sz val="9"/>
            <color indexed="81"/>
            <rFont val="Tahoma"/>
            <family val="2"/>
          </rPr>
          <t xml:space="preserve">                                                                                                   
</t>
        </r>
      </text>
    </comment>
    <comment ref="C126" authorId="1" shapeId="0" xr:uid="{DD263ABA-AE59-425D-952C-D1BA086CED7F}">
      <text>
        <r>
          <rPr>
            <sz val="9"/>
            <color indexed="81"/>
            <rFont val="Tahoma"/>
            <family val="2"/>
          </rPr>
          <t>Se considera como Población Bajo Control a aquellos que cumplan con las siguientes condiciones:</t>
        </r>
        <r>
          <rPr>
            <b/>
            <sz val="9"/>
            <color indexed="81"/>
            <rFont val="Tahoma"/>
            <family val="2"/>
          </rPr>
          <t xml:space="preserve">
</t>
        </r>
        <r>
          <rPr>
            <sz val="9"/>
            <color indexed="81"/>
            <rFont val="Tahoma"/>
            <family val="2"/>
          </rPr>
          <t>El registro debe ser realizado por alguno de los siguientes profesionales:</t>
        </r>
        <r>
          <rPr>
            <b/>
            <sz val="9"/>
            <color indexed="81"/>
            <rFont val="Tahoma"/>
            <family val="2"/>
          </rPr>
          <t xml:space="preserve">  - Médico con especialidad Obstetricia y Ginecología
                                                                                                    - Ginecólogo
                                                                                                    - Matrona
</t>
        </r>
        <r>
          <rPr>
            <sz val="9"/>
            <color indexed="81"/>
            <rFont val="Tahoma"/>
            <family val="2"/>
          </rPr>
          <t xml:space="preserve">
El registro debe ser realizado para los usuarios de</t>
        </r>
        <r>
          <rPr>
            <b/>
            <sz val="9"/>
            <color indexed="81"/>
            <rFont val="Tahoma"/>
            <family val="2"/>
          </rPr>
          <t xml:space="preserve"> sexo Femenino ó Mujer
</t>
        </r>
        <r>
          <rPr>
            <sz val="9"/>
            <color indexed="81"/>
            <rFont val="Tahoma"/>
            <family val="2"/>
          </rPr>
          <t xml:space="preserve">Este dato aparecerá luego que en la atención registrada desde el </t>
        </r>
        <r>
          <rPr>
            <b/>
            <sz val="9"/>
            <color indexed="81"/>
            <rFont val="Tahoma"/>
            <family val="2"/>
          </rPr>
          <t xml:space="preserve">Módulo BOX - Pacientes Citados o desde Agregar Documentos.
 1.- </t>
        </r>
        <r>
          <rPr>
            <sz val="9"/>
            <color indexed="81"/>
            <rFont val="Tahoma"/>
            <family val="2"/>
          </rPr>
          <t xml:space="preserve">En la atención agregar el </t>
        </r>
        <r>
          <rPr>
            <b/>
            <sz val="9"/>
            <color indexed="81"/>
            <rFont val="Tahoma"/>
            <family val="2"/>
          </rPr>
          <t xml:space="preserve">ciclo vital de la atencion o en el anamnesis el ciclo vital ó etapa con </t>
        </r>
        <r>
          <rPr>
            <sz val="9"/>
            <color indexed="81"/>
            <rFont val="Tahoma"/>
            <family val="2"/>
          </rPr>
          <t>alguno de los valores</t>
        </r>
        <r>
          <rPr>
            <b/>
            <sz val="9"/>
            <color indexed="81"/>
            <rFont val="Tahoma"/>
            <family val="2"/>
          </rPr>
          <t xml:space="preserve"> Embarazada primigesta, 
                                                                                                                                                                                                Embarazada
 2.- Ingresar el Formulario Gestante y Puérpera </t>
        </r>
        <r>
          <rPr>
            <sz val="9"/>
            <color indexed="81"/>
            <rFont val="Tahoma"/>
            <family val="2"/>
          </rPr>
          <t>se registre:</t>
        </r>
        <r>
          <rPr>
            <b/>
            <sz val="9"/>
            <color indexed="81"/>
            <rFont val="Tahoma"/>
            <family val="2"/>
          </rPr>
          <t xml:space="preserve">
        * En la sección Antecedentes Embarazo Actual  (Largo Alcance) --&gt; Resultado Evaluación Psicosocial Abreviada  (Largo Alcance)
                                                                                                           -  </t>
        </r>
        <r>
          <rPr>
            <sz val="9"/>
            <color indexed="81"/>
            <rFont val="Tahoma"/>
            <family val="2"/>
          </rPr>
          <t>En el campo</t>
        </r>
        <r>
          <rPr>
            <b/>
            <sz val="9"/>
            <color indexed="81"/>
            <rFont val="Tahoma"/>
            <family val="2"/>
          </rPr>
          <t xml:space="preserve"> Riesgo Psicosocial c</t>
        </r>
        <r>
          <rPr>
            <sz val="9"/>
            <color indexed="81"/>
            <rFont val="Tahoma"/>
            <family val="2"/>
          </rPr>
          <t>on valo</t>
        </r>
        <r>
          <rPr>
            <b/>
            <sz val="9"/>
            <color indexed="81"/>
            <rFont val="Tahoma"/>
            <family val="2"/>
          </rPr>
          <t xml:space="preserve">r Si ó No
        * En la sección Resultados Control Prenatal (Por Atención)
                                                                                           -  </t>
        </r>
        <r>
          <rPr>
            <sz val="9"/>
            <color indexed="81"/>
            <rFont val="Tahoma"/>
            <family val="2"/>
          </rPr>
          <t>En el campo</t>
        </r>
        <r>
          <rPr>
            <b/>
            <sz val="9"/>
            <color indexed="81"/>
            <rFont val="Tahoma"/>
            <family val="2"/>
          </rPr>
          <t xml:space="preserve"> Estado Nutricional </t>
        </r>
        <r>
          <rPr>
            <sz val="9"/>
            <color indexed="81"/>
            <rFont val="Tahoma"/>
            <family val="2"/>
          </rPr>
          <t xml:space="preserve">con alguno de los valores </t>
        </r>
        <r>
          <rPr>
            <b/>
            <sz val="9"/>
            <color indexed="81"/>
            <rFont val="Tahoma"/>
            <family val="2"/>
          </rPr>
          <t>Desnutrición,
                                                                                                                                                                                Riesgo de Desnutrir,
                                                                                                                                                                                Normal o Eutrófico,
                                                                                                                                                                                Sobrepeso,
                                                                                                                                                                                Obesidad,
                                                                                                                                                                                Obesidad Severa
                                                                                            ó
                                                                                           -</t>
        </r>
        <r>
          <rPr>
            <sz val="9"/>
            <color indexed="81"/>
            <rFont val="Tahoma"/>
            <family val="2"/>
          </rPr>
          <t xml:space="preserve">  En el campo</t>
        </r>
        <r>
          <rPr>
            <b/>
            <sz val="9"/>
            <color indexed="81"/>
            <rFont val="Tahoma"/>
            <family val="2"/>
          </rPr>
          <t xml:space="preserve"> Diagnóstico nutricional con</t>
        </r>
        <r>
          <rPr>
            <sz val="9"/>
            <color indexed="81"/>
            <rFont val="Tahoma"/>
            <family val="2"/>
          </rPr>
          <t xml:space="preserve">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En el campo</t>
        </r>
        <r>
          <rPr>
            <b/>
            <sz val="9"/>
            <color indexed="81"/>
            <rFont val="Tahoma"/>
            <family val="2"/>
          </rPr>
          <t xml:space="preserve"> Fecha del Próximo Control tener un valor fecha aproximada de citación al programa, si luego de esta fecha transcurren 29 días el paciente quedara inasistente al control.                                                                                                   
        *</t>
        </r>
        <r>
          <rPr>
            <sz val="9"/>
            <color indexed="81"/>
            <rFont val="Tahoma"/>
            <family val="2"/>
          </rPr>
          <t xml:space="preserve"> En la sección</t>
        </r>
        <r>
          <rPr>
            <b/>
            <sz val="9"/>
            <color indexed="81"/>
            <rFont val="Tahoma"/>
            <family val="2"/>
          </rPr>
          <t xml:space="preserve"> Resultados Ultimos Examenes (Por Atención) --&gt; De Laboratorio (Por Atención)  --&gt; Test de VIH (Por Atención)
                                                                                                           - </t>
        </r>
        <r>
          <rPr>
            <sz val="9"/>
            <color indexed="81"/>
            <rFont val="Tahoma"/>
            <family val="2"/>
          </rPr>
          <t xml:space="preserve"> En el campo</t>
        </r>
        <r>
          <rPr>
            <b/>
            <sz val="9"/>
            <color indexed="81"/>
            <rFont val="Tahoma"/>
            <family val="2"/>
          </rPr>
          <t xml:space="preserve"> Gestante en Control con resultados con valor En control</t>
        </r>
        <r>
          <rPr>
            <sz val="9"/>
            <color indexed="81"/>
            <rFont val="Tahoma"/>
            <family val="2"/>
          </rPr>
          <t xml:space="preserve"> con</t>
        </r>
        <r>
          <rPr>
            <b/>
            <sz val="9"/>
            <color indexed="81"/>
            <rFont val="Tahoma"/>
            <family val="2"/>
          </rPr>
          <t xml:space="preserve"> Resultado 1° VIH semanas
</t>
        </r>
      </text>
    </comment>
    <comment ref="D126" authorId="4" shapeId="0" xr:uid="{418C739E-1EAE-45BF-A3C1-CFF3BBB0C50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1° tamizaje sífilis
                                                                                                           -  </t>
        </r>
        <r>
          <rPr>
            <sz val="9"/>
            <color indexed="81"/>
            <rFont val="Tahoma"/>
            <family val="2"/>
          </rPr>
          <t>En el campo</t>
        </r>
        <r>
          <rPr>
            <b/>
            <sz val="9"/>
            <color indexed="81"/>
            <rFont val="Tahoma"/>
            <family val="2"/>
          </rPr>
          <t xml:space="preserve"> Pendiente de Resultado</t>
        </r>
        <r>
          <rPr>
            <sz val="9"/>
            <color indexed="81"/>
            <rFont val="Tahoma"/>
            <family val="2"/>
          </rPr>
          <t xml:space="preserve"> 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F126" authorId="4" shapeId="0" xr:uid="{F9D199F6-7EDA-4763-94E6-5EA35897DB4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Agregar</t>
        </r>
        <r>
          <rPr>
            <b/>
            <sz val="9"/>
            <color indexed="81"/>
            <rFont val="Tahoma"/>
            <family val="2"/>
          </rPr>
          <t xml:space="preserve">  Edad_gestacional </t>
        </r>
        <r>
          <rPr>
            <sz val="9"/>
            <color indexed="81"/>
            <rFont val="Tahoma"/>
            <family val="2"/>
          </rPr>
          <t>en la atencion</t>
        </r>
        <r>
          <rPr>
            <b/>
            <sz val="9"/>
            <color indexed="81"/>
            <rFont val="Tahoma"/>
            <family val="2"/>
          </rPr>
          <t xml:space="preserve"> mayor de 34 semanas
</t>
        </r>
        <r>
          <rPr>
            <sz val="9"/>
            <color indexed="81"/>
            <rFont val="Tahoma"/>
            <family val="2"/>
          </rPr>
          <t xml:space="preserve"> 3.-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Test de VIH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En control con Resultado 1° VIH semanas
                                                                                                           - </t>
        </r>
        <r>
          <rPr>
            <sz val="9"/>
            <color indexed="81"/>
            <rFont val="Tahoma"/>
            <family val="2"/>
          </rPr>
          <t xml:space="preserve"> En el campo</t>
        </r>
        <r>
          <rPr>
            <b/>
            <sz val="9"/>
            <color indexed="81"/>
            <rFont val="Tahoma"/>
            <family val="2"/>
          </rPr>
          <t xml:space="preserve"> Pendiente de Resultado </t>
        </r>
        <r>
          <rPr>
            <sz val="9"/>
            <color indexed="81"/>
            <rFont val="Tahoma"/>
            <family val="2"/>
          </rPr>
          <t>con valor</t>
        </r>
        <r>
          <rPr>
            <b/>
            <sz val="9"/>
            <color indexed="81"/>
            <rFont val="Tahoma"/>
            <family val="2"/>
          </rPr>
          <t xml:space="preserve"> Si
                                      </t>
        </r>
        <r>
          <rPr>
            <sz val="9"/>
            <color indexed="81"/>
            <rFont val="Tahoma"/>
            <family val="2"/>
          </rPr>
          <t xml:space="preserve">
</t>
        </r>
      </text>
    </comment>
    <comment ref="G126" authorId="4" shapeId="0" xr:uid="{1FF6401A-1F1A-4037-BB5D-DB46B3DA2FB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Agregar</t>
        </r>
        <r>
          <rPr>
            <b/>
            <sz val="9"/>
            <color indexed="81"/>
            <rFont val="Tahoma"/>
            <family val="2"/>
          </rPr>
          <t xml:space="preserve">  Edad_gestacional</t>
        </r>
        <r>
          <rPr>
            <sz val="9"/>
            <color indexed="81"/>
            <rFont val="Tahoma"/>
            <family val="2"/>
          </rPr>
          <t xml:space="preserve"> en la atencion</t>
        </r>
        <r>
          <rPr>
            <b/>
            <sz val="9"/>
            <color indexed="81"/>
            <rFont val="Tahoma"/>
            <family val="2"/>
          </rPr>
          <t xml:space="preserve"> mayor de 34 semanas</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3° tamizaje sífilis
                                                                                                           -  </t>
        </r>
        <r>
          <rPr>
            <sz val="9"/>
            <color indexed="81"/>
            <rFont val="Tahoma"/>
            <family val="2"/>
          </rPr>
          <t>En el campo</t>
        </r>
        <r>
          <rPr>
            <b/>
            <sz val="9"/>
            <color indexed="81"/>
            <rFont val="Tahoma"/>
            <family val="2"/>
          </rPr>
          <t xml:space="preserve"> Pendiente de Resultado </t>
        </r>
        <r>
          <rPr>
            <sz val="9"/>
            <color indexed="81"/>
            <rFont val="Tahoma"/>
            <family val="2"/>
          </rPr>
          <t>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H127" authorId="1" shapeId="0" xr:uid="{E36C6F70-65FF-475C-B298-DBA1321E8EBD}">
      <text>
        <r>
          <rPr>
            <sz val="9"/>
            <color indexed="81"/>
            <rFont val="Tahoma"/>
            <family val="2"/>
          </rPr>
          <t xml:space="preserve">Contabiliza los usuarios en control (segun edad) que en el módulo </t>
        </r>
        <r>
          <rPr>
            <b/>
            <sz val="9"/>
            <color indexed="81"/>
            <rFont val="Tahoma"/>
            <family val="2"/>
          </rPr>
          <t>Admisión - Inscripción indique algún pueblo originario.</t>
        </r>
        <r>
          <rPr>
            <sz val="9"/>
            <color indexed="81"/>
            <rFont val="Tahoma"/>
            <family val="2"/>
          </rPr>
          <t xml:space="preserve">
y cumplan con el siguiente registro
Se considera como Población Bajo Control a aquellos que cumplan con las siguientes condiciones:</t>
        </r>
        <r>
          <rPr>
            <b/>
            <sz val="9"/>
            <color indexed="81"/>
            <rFont val="Tahoma"/>
            <family val="2"/>
          </rPr>
          <t xml:space="preserve">
</t>
        </r>
        <r>
          <rPr>
            <sz val="9"/>
            <color indexed="81"/>
            <rFont val="Tahoma"/>
            <family val="2"/>
          </rPr>
          <t>El registro debe ser realizado por alguno de los siguientes profesionales:</t>
        </r>
        <r>
          <rPr>
            <b/>
            <sz val="9"/>
            <color indexed="81"/>
            <rFont val="Tahoma"/>
            <family val="2"/>
          </rPr>
          <t xml:space="preserve">  - Médico con especialidad Obstetricia y Ginecología
                                                                                                    - Ginecólogo
                                                                                                    - Matrona
</t>
        </r>
        <r>
          <rPr>
            <sz val="9"/>
            <color indexed="81"/>
            <rFont val="Tahoma"/>
            <family val="2"/>
          </rPr>
          <t xml:space="preserve">
El registro debe ser realizado para los usuarios de</t>
        </r>
        <r>
          <rPr>
            <b/>
            <sz val="9"/>
            <color indexed="81"/>
            <rFont val="Tahoma"/>
            <family val="2"/>
          </rPr>
          <t xml:space="preserve"> sexo Femenino ó Mujer
</t>
        </r>
        <r>
          <rPr>
            <sz val="9"/>
            <color indexed="81"/>
            <rFont val="Tahoma"/>
            <family val="2"/>
          </rPr>
          <t xml:space="preserve">Este dato aparecerá luego que en la atención registrada desde el </t>
        </r>
        <r>
          <rPr>
            <b/>
            <sz val="9"/>
            <color indexed="81"/>
            <rFont val="Tahoma"/>
            <family val="2"/>
          </rPr>
          <t xml:space="preserve">Módulo BOX - Pacientes Citados o desde Agregar Documentos.
 1.- </t>
        </r>
        <r>
          <rPr>
            <sz val="9"/>
            <color indexed="81"/>
            <rFont val="Tahoma"/>
            <family val="2"/>
          </rPr>
          <t xml:space="preserve">En la atención agregar el </t>
        </r>
        <r>
          <rPr>
            <b/>
            <sz val="9"/>
            <color indexed="81"/>
            <rFont val="Tahoma"/>
            <family val="2"/>
          </rPr>
          <t xml:space="preserve">ciclo vital de la atencion o en el anamnesis el ciclo vital ó etapa con </t>
        </r>
        <r>
          <rPr>
            <sz val="9"/>
            <color indexed="81"/>
            <rFont val="Tahoma"/>
            <family val="2"/>
          </rPr>
          <t>alguno de los valores</t>
        </r>
        <r>
          <rPr>
            <b/>
            <sz val="9"/>
            <color indexed="81"/>
            <rFont val="Tahoma"/>
            <family val="2"/>
          </rPr>
          <t xml:space="preserve"> Embarazada primigesta, 
                                                                                                                                                                                                Embarazada
 2.- Ingresar el Formulario Gestante y Puérpera </t>
        </r>
        <r>
          <rPr>
            <sz val="9"/>
            <color indexed="81"/>
            <rFont val="Tahoma"/>
            <family val="2"/>
          </rPr>
          <t>se registre:</t>
        </r>
        <r>
          <rPr>
            <b/>
            <sz val="9"/>
            <color indexed="81"/>
            <rFont val="Tahoma"/>
            <family val="2"/>
          </rPr>
          <t xml:space="preserve">
        * En la sección Antecedentes Embarazo Actual  (Largo Alcance) --&gt; Resultado Evaluación Psicosocial Abreviada  (Largo Alcance)
                                                                                                           -  </t>
        </r>
        <r>
          <rPr>
            <sz val="9"/>
            <color indexed="81"/>
            <rFont val="Tahoma"/>
            <family val="2"/>
          </rPr>
          <t>En el campo</t>
        </r>
        <r>
          <rPr>
            <b/>
            <sz val="9"/>
            <color indexed="81"/>
            <rFont val="Tahoma"/>
            <family val="2"/>
          </rPr>
          <t xml:space="preserve"> Riesgo Psicosocial c</t>
        </r>
        <r>
          <rPr>
            <sz val="9"/>
            <color indexed="81"/>
            <rFont val="Tahoma"/>
            <family val="2"/>
          </rPr>
          <t>on valo</t>
        </r>
        <r>
          <rPr>
            <b/>
            <sz val="9"/>
            <color indexed="81"/>
            <rFont val="Tahoma"/>
            <family val="2"/>
          </rPr>
          <t xml:space="preserve">r Si ó No
        * En la sección Resultados Control Prenatal (Por Atención)
                                                                                           -  </t>
        </r>
        <r>
          <rPr>
            <sz val="9"/>
            <color indexed="81"/>
            <rFont val="Tahoma"/>
            <family val="2"/>
          </rPr>
          <t>En el campo</t>
        </r>
        <r>
          <rPr>
            <b/>
            <sz val="9"/>
            <color indexed="81"/>
            <rFont val="Tahoma"/>
            <family val="2"/>
          </rPr>
          <t xml:space="preserve"> Estado Nutricional </t>
        </r>
        <r>
          <rPr>
            <sz val="9"/>
            <color indexed="81"/>
            <rFont val="Tahoma"/>
            <family val="2"/>
          </rPr>
          <t xml:space="preserve">con alguno de los valores </t>
        </r>
        <r>
          <rPr>
            <b/>
            <sz val="9"/>
            <color indexed="81"/>
            <rFont val="Tahoma"/>
            <family val="2"/>
          </rPr>
          <t>Desnutrición,
                                                                                                                                                                                Riesgo de Desnutrir,
                                                                                                                                                                                Normal o Eutrófico,
                                                                                                                                                                                Sobrepeso,
                                                                                                                                                                                Obesidad,
                                                                                                                                                                                Obesidad Severa
                                                                                            ó
                                                                                           -</t>
        </r>
        <r>
          <rPr>
            <sz val="9"/>
            <color indexed="81"/>
            <rFont val="Tahoma"/>
            <family val="2"/>
          </rPr>
          <t xml:space="preserve">  En el campo</t>
        </r>
        <r>
          <rPr>
            <b/>
            <sz val="9"/>
            <color indexed="81"/>
            <rFont val="Tahoma"/>
            <family val="2"/>
          </rPr>
          <t xml:space="preserve"> Diagnóstico nutricional con</t>
        </r>
        <r>
          <rPr>
            <sz val="9"/>
            <color indexed="81"/>
            <rFont val="Tahoma"/>
            <family val="2"/>
          </rPr>
          <t xml:space="preserve">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En el campo</t>
        </r>
        <r>
          <rPr>
            <b/>
            <sz val="9"/>
            <color indexed="81"/>
            <rFont val="Tahoma"/>
            <family val="2"/>
          </rPr>
          <t xml:space="preserve"> Fecha del Próximo Control tener un valor fecha aproximada de citación al programa, si luego de esta fecha transcurren 29 días el paciente quedara inasistente al control.                                                                                                   
        *</t>
        </r>
        <r>
          <rPr>
            <sz val="9"/>
            <color indexed="81"/>
            <rFont val="Tahoma"/>
            <family val="2"/>
          </rPr>
          <t xml:space="preserve"> En la sección</t>
        </r>
        <r>
          <rPr>
            <b/>
            <sz val="9"/>
            <color indexed="81"/>
            <rFont val="Tahoma"/>
            <family val="2"/>
          </rPr>
          <t xml:space="preserve"> Resultados Ultimos Examenes (Por Atención) --&gt; De Laboratorio (Por Atención)  --&gt; Test de VIH (Por Atención)
                                                                                                           - </t>
        </r>
        <r>
          <rPr>
            <sz val="9"/>
            <color indexed="81"/>
            <rFont val="Tahoma"/>
            <family val="2"/>
          </rPr>
          <t xml:space="preserve"> En el campo</t>
        </r>
        <r>
          <rPr>
            <b/>
            <sz val="9"/>
            <color indexed="81"/>
            <rFont val="Tahoma"/>
            <family val="2"/>
          </rPr>
          <t xml:space="preserve"> Gestante en Control con resultados con valor En control</t>
        </r>
        <r>
          <rPr>
            <sz val="9"/>
            <color indexed="81"/>
            <rFont val="Tahoma"/>
            <family val="2"/>
          </rPr>
          <t xml:space="preserve"> con</t>
        </r>
        <r>
          <rPr>
            <b/>
            <sz val="9"/>
            <color indexed="81"/>
            <rFont val="Tahoma"/>
            <family val="2"/>
          </rPr>
          <t xml:space="preserve"> Resultado 1° VIH semanas
</t>
        </r>
      </text>
    </comment>
    <comment ref="I127" authorId="4" shapeId="0" xr:uid="{E59FD90A-1C20-44C4-BD8A-74F82EF24CBA}">
      <text>
        <r>
          <rPr>
            <sz val="9"/>
            <color indexed="81"/>
            <rFont val="Tahoma"/>
            <family val="2"/>
          </rPr>
          <t xml:space="preserve">Contabiliza los usuarios en control (segun edad) que en el </t>
        </r>
        <r>
          <rPr>
            <b/>
            <sz val="9"/>
            <color indexed="81"/>
            <rFont val="Tahoma"/>
            <family val="2"/>
          </rPr>
          <t>módulo Admisión - Inscripción indique algún pueblo originario.</t>
        </r>
        <r>
          <rPr>
            <sz val="9"/>
            <color indexed="81"/>
            <rFont val="Tahoma"/>
            <family val="2"/>
          </rPr>
          <t xml:space="preserve">
y cumplan con el siguiente registro
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1° tamizaje sífilis
                                                                                                           -  </t>
        </r>
        <r>
          <rPr>
            <sz val="9"/>
            <color indexed="81"/>
            <rFont val="Tahoma"/>
            <family val="2"/>
          </rPr>
          <t>En el campo</t>
        </r>
        <r>
          <rPr>
            <b/>
            <sz val="9"/>
            <color indexed="81"/>
            <rFont val="Tahoma"/>
            <family val="2"/>
          </rPr>
          <t xml:space="preserve"> Pendiente de Resultado</t>
        </r>
        <r>
          <rPr>
            <sz val="9"/>
            <color indexed="81"/>
            <rFont val="Tahoma"/>
            <family val="2"/>
          </rPr>
          <t xml:space="preserve"> 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J127" authorId="1" shapeId="0" xr:uid="{3BEE84C1-C9CD-482C-B051-BF5D0B501D40}">
      <text>
        <r>
          <rPr>
            <sz val="9"/>
            <color indexed="81"/>
            <rFont val="Tahoma"/>
            <family val="2"/>
          </rPr>
          <t>Contabilizara a los pacientes que tengan en</t>
        </r>
        <r>
          <rPr>
            <b/>
            <sz val="9"/>
            <color indexed="81"/>
            <rFont val="Tahoma"/>
            <family val="2"/>
          </rPr>
          <t xml:space="preserve">  Antecedentes del usuario APS / Pestaña "Identificacion"  Item  Alertas Adm.  "MIGRANTES"</t>
        </r>
        <r>
          <rPr>
            <sz val="9"/>
            <color indexed="81"/>
            <rFont val="Tahoma"/>
            <family val="2"/>
          </rPr>
          <t xml:space="preserve">
y cumplan con el siguiente registro
Se considera como Población Bajo Control a aquellos que cumplan con las siguientes condiciones:</t>
        </r>
        <r>
          <rPr>
            <b/>
            <sz val="9"/>
            <color indexed="81"/>
            <rFont val="Tahoma"/>
            <family val="2"/>
          </rPr>
          <t xml:space="preserve">
</t>
        </r>
        <r>
          <rPr>
            <sz val="9"/>
            <color indexed="81"/>
            <rFont val="Tahoma"/>
            <family val="2"/>
          </rPr>
          <t>El registro debe ser realizado por alguno de los siguientes profesionales:</t>
        </r>
        <r>
          <rPr>
            <b/>
            <sz val="9"/>
            <color indexed="81"/>
            <rFont val="Tahoma"/>
            <family val="2"/>
          </rPr>
          <t xml:space="preserve">  - Médico con especialidad Obstetricia y Ginecología
                                                                                                    - Ginecólogo
                                                                                                    - Matrona
</t>
        </r>
        <r>
          <rPr>
            <sz val="9"/>
            <color indexed="81"/>
            <rFont val="Tahoma"/>
            <family val="2"/>
          </rPr>
          <t xml:space="preserve">
El registro debe ser realizado para los usuarios de</t>
        </r>
        <r>
          <rPr>
            <b/>
            <sz val="9"/>
            <color indexed="81"/>
            <rFont val="Tahoma"/>
            <family val="2"/>
          </rPr>
          <t xml:space="preserve"> sexo Femenino ó Mujer
</t>
        </r>
        <r>
          <rPr>
            <sz val="9"/>
            <color indexed="81"/>
            <rFont val="Tahoma"/>
            <family val="2"/>
          </rPr>
          <t xml:space="preserve">Este dato aparecerá luego que en la atención registrada desde el </t>
        </r>
        <r>
          <rPr>
            <b/>
            <sz val="9"/>
            <color indexed="81"/>
            <rFont val="Tahoma"/>
            <family val="2"/>
          </rPr>
          <t xml:space="preserve">Módulo BOX - Pacientes Citados o desde Agregar Documentos.
 1.- </t>
        </r>
        <r>
          <rPr>
            <sz val="9"/>
            <color indexed="81"/>
            <rFont val="Tahoma"/>
            <family val="2"/>
          </rPr>
          <t xml:space="preserve">En la atención agregar el </t>
        </r>
        <r>
          <rPr>
            <b/>
            <sz val="9"/>
            <color indexed="81"/>
            <rFont val="Tahoma"/>
            <family val="2"/>
          </rPr>
          <t xml:space="preserve">ciclo vital de la atencion o en el anamnesis el ciclo vital ó etapa con </t>
        </r>
        <r>
          <rPr>
            <sz val="9"/>
            <color indexed="81"/>
            <rFont val="Tahoma"/>
            <family val="2"/>
          </rPr>
          <t>alguno de los valores</t>
        </r>
        <r>
          <rPr>
            <b/>
            <sz val="9"/>
            <color indexed="81"/>
            <rFont val="Tahoma"/>
            <family val="2"/>
          </rPr>
          <t xml:space="preserve"> Embarazada primigesta, 
                                                                                                                                                                                                Embarazada
 2.- Ingresar el Formulario Gestante y Puérpera </t>
        </r>
        <r>
          <rPr>
            <sz val="9"/>
            <color indexed="81"/>
            <rFont val="Tahoma"/>
            <family val="2"/>
          </rPr>
          <t>se registre:</t>
        </r>
        <r>
          <rPr>
            <b/>
            <sz val="9"/>
            <color indexed="81"/>
            <rFont val="Tahoma"/>
            <family val="2"/>
          </rPr>
          <t xml:space="preserve">
        * En la sección Antecedentes Embarazo Actual  (Largo Alcance) --&gt; Resultado Evaluación Psicosocial Abreviada  (Largo Alcance)
                                                                                                           -  </t>
        </r>
        <r>
          <rPr>
            <sz val="9"/>
            <color indexed="81"/>
            <rFont val="Tahoma"/>
            <family val="2"/>
          </rPr>
          <t>En el campo</t>
        </r>
        <r>
          <rPr>
            <b/>
            <sz val="9"/>
            <color indexed="81"/>
            <rFont val="Tahoma"/>
            <family val="2"/>
          </rPr>
          <t xml:space="preserve"> Riesgo Psicosocial c</t>
        </r>
        <r>
          <rPr>
            <sz val="9"/>
            <color indexed="81"/>
            <rFont val="Tahoma"/>
            <family val="2"/>
          </rPr>
          <t>on valo</t>
        </r>
        <r>
          <rPr>
            <b/>
            <sz val="9"/>
            <color indexed="81"/>
            <rFont val="Tahoma"/>
            <family val="2"/>
          </rPr>
          <t xml:space="preserve">r Si ó No
        * En la sección Resultados Control Prenatal (Por Atención)
                                                                                           -  </t>
        </r>
        <r>
          <rPr>
            <sz val="9"/>
            <color indexed="81"/>
            <rFont val="Tahoma"/>
            <family val="2"/>
          </rPr>
          <t>En el campo</t>
        </r>
        <r>
          <rPr>
            <b/>
            <sz val="9"/>
            <color indexed="81"/>
            <rFont val="Tahoma"/>
            <family val="2"/>
          </rPr>
          <t xml:space="preserve"> Estado Nutricional </t>
        </r>
        <r>
          <rPr>
            <sz val="9"/>
            <color indexed="81"/>
            <rFont val="Tahoma"/>
            <family val="2"/>
          </rPr>
          <t xml:space="preserve">con alguno de los valores </t>
        </r>
        <r>
          <rPr>
            <b/>
            <sz val="9"/>
            <color indexed="81"/>
            <rFont val="Tahoma"/>
            <family val="2"/>
          </rPr>
          <t>Desnutrición,
                                                                                                                                                                                Riesgo de Desnutrir,
                                                                                                                                                                                Normal o Eutrófico,
                                                                                                                                                                                Sobrepeso,
                                                                                                                                                                                Obesidad,
                                                                                                                                                                                Obesidad Severa
                                                                                            ó
                                                                                           -</t>
        </r>
        <r>
          <rPr>
            <sz val="9"/>
            <color indexed="81"/>
            <rFont val="Tahoma"/>
            <family val="2"/>
          </rPr>
          <t xml:space="preserve">  En el campo</t>
        </r>
        <r>
          <rPr>
            <b/>
            <sz val="9"/>
            <color indexed="81"/>
            <rFont val="Tahoma"/>
            <family val="2"/>
          </rPr>
          <t xml:space="preserve"> Diagnóstico nutricional con</t>
        </r>
        <r>
          <rPr>
            <sz val="9"/>
            <color indexed="81"/>
            <rFont val="Tahoma"/>
            <family val="2"/>
          </rPr>
          <t xml:space="preserve"> alguno de los valores</t>
        </r>
        <r>
          <rPr>
            <b/>
            <sz val="9"/>
            <color indexed="81"/>
            <rFont val="Tahoma"/>
            <family val="2"/>
          </rPr>
          <t xml:space="preserve"> Bajo Peso,
                                                                                                                                                                                        Normal,
                                                                                                                                                                                        Obesidad,
                                                                                                                                                                                        Sobrepeso,
                                                                                                                                                                                        Desnutrición,
                                                                                                                                                                                        Riesgo de Desnutrir,
                                                                                                                                                                                        Normal o Eutrófico,
                                                                                                                                                                                        Obesidad Severa                                                                                                                                                                        
</t>
        </r>
        <r>
          <rPr>
            <sz val="9"/>
            <color indexed="81"/>
            <rFont val="Tahoma"/>
            <family val="2"/>
          </rPr>
          <t>En el campo</t>
        </r>
        <r>
          <rPr>
            <b/>
            <sz val="9"/>
            <color indexed="81"/>
            <rFont val="Tahoma"/>
            <family val="2"/>
          </rPr>
          <t xml:space="preserve"> Fecha del Próximo Control tener un valor fecha aproximada de citación al programa, si luego de esta fecha transcurren 29 días el paciente quedara inasistente al control.                                                                                                   
        *</t>
        </r>
        <r>
          <rPr>
            <sz val="9"/>
            <color indexed="81"/>
            <rFont val="Tahoma"/>
            <family val="2"/>
          </rPr>
          <t xml:space="preserve"> En la sección</t>
        </r>
        <r>
          <rPr>
            <b/>
            <sz val="9"/>
            <color indexed="81"/>
            <rFont val="Tahoma"/>
            <family val="2"/>
          </rPr>
          <t xml:space="preserve"> Resultados Ultimos Examenes (Por Atención) --&gt; De Laboratorio (Por Atención)  --&gt; Test de VIH (Por Atención)
                                                                                                           - </t>
        </r>
        <r>
          <rPr>
            <sz val="9"/>
            <color indexed="81"/>
            <rFont val="Tahoma"/>
            <family val="2"/>
          </rPr>
          <t xml:space="preserve"> En el campo</t>
        </r>
        <r>
          <rPr>
            <b/>
            <sz val="9"/>
            <color indexed="81"/>
            <rFont val="Tahoma"/>
            <family val="2"/>
          </rPr>
          <t xml:space="preserve"> Gestante en Control con resultados con valor En control</t>
        </r>
        <r>
          <rPr>
            <sz val="9"/>
            <color indexed="81"/>
            <rFont val="Tahoma"/>
            <family val="2"/>
          </rPr>
          <t xml:space="preserve"> con</t>
        </r>
        <r>
          <rPr>
            <b/>
            <sz val="9"/>
            <color indexed="81"/>
            <rFont val="Tahoma"/>
            <family val="2"/>
          </rPr>
          <t xml:space="preserve"> Resultado 1° VIH semanas
</t>
        </r>
      </text>
    </comment>
    <comment ref="K127" authorId="4" shapeId="0" xr:uid="{9697A642-228D-468D-8198-49420CE58A60}">
      <text>
        <r>
          <rPr>
            <sz val="9"/>
            <color indexed="81"/>
            <rFont val="Tahoma"/>
            <family val="2"/>
          </rPr>
          <t xml:space="preserve">Contabilizara a los pacientes que tengan en  </t>
        </r>
        <r>
          <rPr>
            <b/>
            <sz val="9"/>
            <color indexed="81"/>
            <rFont val="Tahoma"/>
            <family val="2"/>
          </rPr>
          <t>Antecedentes del usuario APS / Pestaña "Identificacion"  Item  Alertas Adm.  "MIGRANTES"</t>
        </r>
        <r>
          <rPr>
            <sz val="9"/>
            <color indexed="81"/>
            <rFont val="Tahoma"/>
            <family val="2"/>
          </rPr>
          <t xml:space="preserve">
y cumplan con el siguiente registro
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t>
        </r>
        <r>
          <rPr>
            <b/>
            <sz val="9"/>
            <color indexed="81"/>
            <rFont val="Tahoma"/>
            <family val="2"/>
          </rPr>
          <t xml:space="preserve">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1° tamizaje sífilis
                                                                                                           -  </t>
        </r>
        <r>
          <rPr>
            <sz val="9"/>
            <color indexed="81"/>
            <rFont val="Tahoma"/>
            <family val="2"/>
          </rPr>
          <t>En el campo</t>
        </r>
        <r>
          <rPr>
            <b/>
            <sz val="9"/>
            <color indexed="81"/>
            <rFont val="Tahoma"/>
            <family val="2"/>
          </rPr>
          <t xml:space="preserve"> Pendiente de Resultado</t>
        </r>
        <r>
          <rPr>
            <sz val="9"/>
            <color indexed="81"/>
            <rFont val="Tahoma"/>
            <family val="2"/>
          </rPr>
          <t xml:space="preserve"> 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C138" authorId="4" shapeId="0" xr:uid="{3FC74BC0-8FD8-41D9-840A-2F16AEDD2BC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Test de VIH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En control con Resultado 1° VIH semanas
                                                                                                           -  </t>
        </r>
        <r>
          <rPr>
            <sz val="9"/>
            <color indexed="81"/>
            <rFont val="Tahoma"/>
            <family val="2"/>
          </rPr>
          <t>En el campo</t>
        </r>
        <r>
          <rPr>
            <b/>
            <sz val="9"/>
            <color indexed="81"/>
            <rFont val="Tahoma"/>
            <family val="2"/>
          </rPr>
          <t xml:space="preserve"> Pendiente de Resultado </t>
        </r>
        <r>
          <rPr>
            <sz val="9"/>
            <color indexed="81"/>
            <rFont val="Tahoma"/>
            <family val="2"/>
          </rPr>
          <t>con valor</t>
        </r>
        <r>
          <rPr>
            <b/>
            <sz val="9"/>
            <color indexed="81"/>
            <rFont val="Tahoma"/>
            <family val="2"/>
          </rPr>
          <t xml:space="preserve"> Si</t>
        </r>
        <r>
          <rPr>
            <sz val="9"/>
            <color indexed="81"/>
            <rFont val="Tahoma"/>
            <family val="2"/>
          </rPr>
          <t xml:space="preserve">
</t>
        </r>
      </text>
    </comment>
    <comment ref="D138" authorId="4" shapeId="0" xr:uid="{F4F6C947-B17C-44B9-A3DE-A0217571834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1° tamizaje sífilis
                                                                                                           -  </t>
        </r>
        <r>
          <rPr>
            <sz val="9"/>
            <color indexed="81"/>
            <rFont val="Tahoma"/>
            <family val="2"/>
          </rPr>
          <t>En el campo</t>
        </r>
        <r>
          <rPr>
            <b/>
            <sz val="9"/>
            <color indexed="81"/>
            <rFont val="Tahoma"/>
            <family val="2"/>
          </rPr>
          <t xml:space="preserve"> Pendiente de Resultado</t>
        </r>
        <r>
          <rPr>
            <sz val="9"/>
            <color indexed="81"/>
            <rFont val="Tahoma"/>
            <family val="2"/>
          </rPr>
          <t xml:space="preserve"> 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F138" authorId="4" shapeId="0" xr:uid="{5EC1AB5F-D2B1-4EE5-BA63-B21A48A7AD6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Agregar</t>
        </r>
        <r>
          <rPr>
            <b/>
            <sz val="9"/>
            <color indexed="81"/>
            <rFont val="Tahoma"/>
            <family val="2"/>
          </rPr>
          <t xml:space="preserve">  Edad_gestacional </t>
        </r>
        <r>
          <rPr>
            <sz val="9"/>
            <color indexed="81"/>
            <rFont val="Tahoma"/>
            <family val="2"/>
          </rPr>
          <t>en la atencion</t>
        </r>
        <r>
          <rPr>
            <b/>
            <sz val="9"/>
            <color indexed="81"/>
            <rFont val="Tahoma"/>
            <family val="2"/>
          </rPr>
          <t xml:space="preserve"> mayor de 34 semanas
</t>
        </r>
        <r>
          <rPr>
            <sz val="9"/>
            <color indexed="81"/>
            <rFont val="Tahoma"/>
            <family val="2"/>
          </rPr>
          <t xml:space="preserve"> 3.-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Test de VIH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En control con Resultado 1° VIH semanas
                                                                                                           - </t>
        </r>
        <r>
          <rPr>
            <sz val="9"/>
            <color indexed="81"/>
            <rFont val="Tahoma"/>
            <family val="2"/>
          </rPr>
          <t xml:space="preserve"> En el campo</t>
        </r>
        <r>
          <rPr>
            <b/>
            <sz val="9"/>
            <color indexed="81"/>
            <rFont val="Tahoma"/>
            <family val="2"/>
          </rPr>
          <t xml:space="preserve"> Pendiente de Resultado </t>
        </r>
        <r>
          <rPr>
            <sz val="9"/>
            <color indexed="81"/>
            <rFont val="Tahoma"/>
            <family val="2"/>
          </rPr>
          <t>con valor</t>
        </r>
        <r>
          <rPr>
            <b/>
            <sz val="9"/>
            <color indexed="81"/>
            <rFont val="Tahoma"/>
            <family val="2"/>
          </rPr>
          <t xml:space="preserve"> Si
                                      </t>
        </r>
        <r>
          <rPr>
            <sz val="9"/>
            <color indexed="81"/>
            <rFont val="Tahoma"/>
            <family val="2"/>
          </rPr>
          <t xml:space="preserve">
</t>
        </r>
        <r>
          <rPr>
            <b/>
            <sz val="9"/>
            <color indexed="81"/>
            <rFont val="Tahoma"/>
            <family val="2"/>
          </rPr>
          <t xml:space="preserve">
</t>
        </r>
      </text>
    </comment>
    <comment ref="G138" authorId="4" shapeId="0" xr:uid="{BDD27435-8CB1-491C-B5DA-A8B9828F79C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CESFAM</t>
        </r>
        <r>
          <rPr>
            <sz val="9"/>
            <color indexed="81"/>
            <rFont val="Tahoma"/>
            <family val="2"/>
          </rPr>
          <t xml:space="preserve">
</t>
        </r>
        <r>
          <rPr>
            <b/>
            <sz val="9"/>
            <color indexed="81"/>
            <rFont val="Tahoma"/>
            <family val="2"/>
          </rPr>
          <t xml:space="preserve">                                                                           - SAPU
                                                                           - ConsultorioGeneralUrbano
                                                                           - ConsultorioGeneralRural
                                                                           - PostaSaludRural
                                                                           - HospitalTipo1
                                                                           - HospitalTipo4
                                                                           - COSAM
                                                                           - CECOF
                                                                           - SAR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Agregar</t>
        </r>
        <r>
          <rPr>
            <b/>
            <sz val="9"/>
            <color indexed="81"/>
            <rFont val="Tahoma"/>
            <family val="2"/>
          </rPr>
          <t xml:space="preserve">  Edad_gestacional</t>
        </r>
        <r>
          <rPr>
            <sz val="9"/>
            <color indexed="81"/>
            <rFont val="Tahoma"/>
            <family val="2"/>
          </rPr>
          <t xml:space="preserve"> en la atencion</t>
        </r>
        <r>
          <rPr>
            <b/>
            <sz val="9"/>
            <color indexed="81"/>
            <rFont val="Tahoma"/>
            <family val="2"/>
          </rPr>
          <t xml:space="preserve"> mayor de 34 semanas</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--&gt; Resultado Evaluación Psicosocial Abreviada  (Largo Alcance)
                                                                                                           -  </t>
        </r>
        <r>
          <rPr>
            <sz val="9"/>
            <color indexed="81"/>
            <rFont val="Tahoma"/>
            <family val="2"/>
          </rPr>
          <t xml:space="preserve">En el campo </t>
        </r>
        <r>
          <rPr>
            <b/>
            <sz val="9"/>
            <color indexed="81"/>
            <rFont val="Tahoma"/>
            <family val="2"/>
          </rPr>
          <t xml:space="preserve">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 En la sección </t>
        </r>
        <r>
          <rPr>
            <b/>
            <sz val="9"/>
            <color indexed="81"/>
            <rFont val="Tahoma"/>
            <family val="2"/>
          </rPr>
          <t>Resultados Ultimos Examenes (Por Atención)</t>
        </r>
        <r>
          <rPr>
            <sz val="9"/>
            <color indexed="81"/>
            <rFont val="Tahoma"/>
            <family val="2"/>
          </rPr>
          <t xml:space="preserve"> --&gt; </t>
        </r>
        <r>
          <rPr>
            <b/>
            <sz val="9"/>
            <color indexed="81"/>
            <rFont val="Tahoma"/>
            <family val="2"/>
          </rPr>
          <t xml:space="preserve">De Laboratorio (Por Atención) </t>
        </r>
        <r>
          <rPr>
            <sz val="9"/>
            <color indexed="81"/>
            <rFont val="Tahoma"/>
            <family val="2"/>
          </rPr>
          <t xml:space="preserve"> --&gt;</t>
        </r>
        <r>
          <rPr>
            <b/>
            <sz val="9"/>
            <color indexed="81"/>
            <rFont val="Tahoma"/>
            <family val="2"/>
          </rPr>
          <t xml:space="preserve"> VDRL  (Por Atención)</t>
        </r>
        <r>
          <rPr>
            <sz val="9"/>
            <color indexed="81"/>
            <rFont val="Tahoma"/>
            <family val="2"/>
          </rPr>
          <t xml:space="preserve">
                                                                                                           -  En el campo</t>
        </r>
        <r>
          <rPr>
            <b/>
            <sz val="9"/>
            <color indexed="81"/>
            <rFont val="Tahoma"/>
            <family val="2"/>
          </rPr>
          <t xml:space="preserve"> Gestante en Control con resultados </t>
        </r>
        <r>
          <rPr>
            <sz val="9"/>
            <color indexed="81"/>
            <rFont val="Tahoma"/>
            <family val="2"/>
          </rPr>
          <t xml:space="preserve">con valor </t>
        </r>
        <r>
          <rPr>
            <b/>
            <sz val="9"/>
            <color indexed="81"/>
            <rFont val="Tahoma"/>
            <family val="2"/>
          </rPr>
          <t xml:space="preserve">Resultado 3° tamizaje sífilis
                                                                                                           -  </t>
        </r>
        <r>
          <rPr>
            <sz val="9"/>
            <color indexed="81"/>
            <rFont val="Tahoma"/>
            <family val="2"/>
          </rPr>
          <t>En el campo</t>
        </r>
        <r>
          <rPr>
            <b/>
            <sz val="9"/>
            <color indexed="81"/>
            <rFont val="Tahoma"/>
            <family val="2"/>
          </rPr>
          <t xml:space="preserve"> Pendiente de Resultado </t>
        </r>
        <r>
          <rPr>
            <sz val="9"/>
            <color indexed="81"/>
            <rFont val="Tahoma"/>
            <family val="2"/>
          </rPr>
          <t>con valor</t>
        </r>
        <r>
          <rPr>
            <b/>
            <sz val="9"/>
            <color indexed="81"/>
            <rFont val="Tahoma"/>
            <family val="2"/>
          </rPr>
          <t xml:space="preserve"> Si</t>
        </r>
        <r>
          <rPr>
            <sz val="9"/>
            <color indexed="81"/>
            <rFont val="Tahoma"/>
            <family val="2"/>
          </rPr>
          <t xml:space="preserve">
</t>
        </r>
        <r>
          <rPr>
            <b/>
            <sz val="9"/>
            <color indexed="81"/>
            <rFont val="Tahoma"/>
            <family val="2"/>
          </rPr>
          <t xml:space="preserve">
</t>
        </r>
      </text>
    </comment>
    <comment ref="A142" authorId="4" shapeId="0" xr:uid="{735E0258-7670-4346-B2D1-2093E5EA7C0D}">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Preeclampsia (PE)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3" authorId="4" shapeId="0" xr:uid="{87C28D5A-89B5-45B7-B120-2A57CA45CD0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Sindrome Hipertenso del Embarazo (SHE)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4" authorId="4" shapeId="0" xr:uid="{C8EC299A-E6F6-4697-92E4-1F70960E399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Factores de riesgo y condicionantes de Parto Prematuro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5" authorId="4" shapeId="0" xr:uid="{0C63908F-1E85-4F29-A1EC-7E8B997755D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Retardo Crecimiento Intrauterino (RCIU)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6" authorId="4" shapeId="0" xr:uid="{A2AE7802-8AA9-4649-998E-3F1C01C6B03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 xml:space="preserve">con alguno de los valores </t>
        </r>
        <r>
          <rPr>
            <b/>
            <sz val="9"/>
            <color indexed="81"/>
            <rFont val="Tahoma"/>
            <family val="2"/>
          </rPr>
          <t xml:space="preserve">SÍFILIS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7" authorId="4" shapeId="0" xr:uid="{340166E4-77DE-4180-A9CB-C1008BCB8BE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 xml:space="preserve">con alguno de los valores </t>
        </r>
        <r>
          <rPr>
            <b/>
            <sz val="9"/>
            <color indexed="81"/>
            <rFont val="Tahoma"/>
            <family val="2"/>
          </rPr>
          <t xml:space="preserve">VIH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8" authorId="4" shapeId="0" xr:uid="{C628C9FD-6BB3-40E4-A250-FC1D4CAD13B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Diabetes Pre Gestacional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49" authorId="4" shapeId="0" xr:uid="{E59B36D2-2B14-4509-9A2B-6289E818F82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 xml:space="preserve">con alguno de los valores </t>
        </r>
        <r>
          <rPr>
            <b/>
            <sz val="9"/>
            <color indexed="81"/>
            <rFont val="Tahoma"/>
            <family val="2"/>
          </rPr>
          <t xml:space="preserve">Diabetes Gestacional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0" authorId="4" shapeId="0" xr:uid="{30B3F28A-210A-4D61-BFAA-136359300675}">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Cesárea anterior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1" authorId="4" shapeId="0" xr:uid="{3F378AE4-8DA5-473F-B2AC-79917096420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Malformación Congénita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2" authorId="4" shapeId="0" xr:uid="{90B0FBE3-A684-439C-A922-605DE6FE69DB}">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Anemia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3" authorId="4" shapeId="0" xr:uid="{A2F940CA-6F2F-40EF-A4D1-4ACD024EF59C}">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Cardiopatías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4" authorId="4" shapeId="0" xr:uid="{60798FBE-6276-4B55-B195-F4E02EC0E2C1}">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Pielonefritis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5" authorId="4" shapeId="0" xr:uid="{773537C7-4DD9-4EDF-8D41-AEAB354573CF}">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Rh(-) sensibilizada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6" authorId="4" shapeId="0" xr:uid="{25D6F5F5-A0FB-4792-93BE-F6797BE6CA3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Placenta previa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7" authorId="4" shapeId="0" xr:uid="{B156C39E-7EBA-4947-B89B-B3A23E253A04}">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Chagas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8" authorId="4" shapeId="0" xr:uid="{1A7DF658-C984-4294-B54A-925FA46F285E}">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Colestasia Intrahépatica de Embarazo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 ref="A159" authorId="4" shapeId="0" xr:uid="{EF50283F-D05C-4FD2-8681-A0039C4321A7}">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siguientes condiciones:
El registro debe ser realizado por alguno de los siguientes profesionales:  </t>
        </r>
        <r>
          <rPr>
            <b/>
            <sz val="9"/>
            <color indexed="81"/>
            <rFont val="Tahoma"/>
            <family val="2"/>
          </rPr>
          <t>- Médico con especialidad Obstetricia y Ginecología</t>
        </r>
        <r>
          <rPr>
            <sz val="9"/>
            <color indexed="81"/>
            <rFont val="Tahoma"/>
            <family val="2"/>
          </rPr>
          <t xml:space="preserve">
                                                                                              </t>
        </r>
        <r>
          <rPr>
            <b/>
            <sz val="9"/>
            <color indexed="81"/>
            <rFont val="Tahoma"/>
            <family val="2"/>
          </rPr>
          <t xml:space="preserve"> - Ginecólogo</t>
        </r>
        <r>
          <rPr>
            <sz val="9"/>
            <color indexed="81"/>
            <rFont val="Tahoma"/>
            <family val="2"/>
          </rPr>
          <t xml:space="preserve">
                                                                                               </t>
        </r>
        <r>
          <rPr>
            <b/>
            <sz val="9"/>
            <color indexed="81"/>
            <rFont val="Tahoma"/>
            <family val="2"/>
          </rPr>
          <t>- Matrona</t>
        </r>
        <r>
          <rPr>
            <sz val="9"/>
            <color indexed="81"/>
            <rFont val="Tahoma"/>
            <family val="2"/>
          </rPr>
          <t xml:space="preserve">
El registro debe ser realizado por los establecimientos:</t>
        </r>
        <r>
          <rPr>
            <b/>
            <sz val="9"/>
            <color indexed="81"/>
            <rFont val="Tahoma"/>
            <family val="2"/>
          </rPr>
          <t xml:space="preserve"> - CentroDeReferenciaDeSalud</t>
        </r>
        <r>
          <rPr>
            <sz val="9"/>
            <color indexed="81"/>
            <rFont val="Tahoma"/>
            <family val="2"/>
          </rPr>
          <t xml:space="preserve">
</t>
        </r>
        <r>
          <rPr>
            <b/>
            <sz val="9"/>
            <color indexed="81"/>
            <rFont val="Tahoma"/>
            <family val="2"/>
          </rPr>
          <t xml:space="preserve">                                                                                        - CentroDeDiagnosticoYTratamiento
                                                                                         - HospitalTipo2
                                                                                         - HospitalTipo3
</t>
        </r>
        <r>
          <rPr>
            <sz val="9"/>
            <color indexed="81"/>
            <rFont val="Tahoma"/>
            <family val="2"/>
          </rPr>
          <t xml:space="preserve">El registro debe ser realizado para los usuarios de sexo </t>
        </r>
        <r>
          <rPr>
            <b/>
            <sz val="9"/>
            <color indexed="81"/>
            <rFont val="Tahoma"/>
            <family val="2"/>
          </rPr>
          <t xml:space="preserve">Femenino ó Mujer
</t>
        </r>
        <r>
          <rPr>
            <sz val="9"/>
            <color indexed="81"/>
            <rFont val="Tahoma"/>
            <family val="2"/>
          </rPr>
          <t xml:space="preserve">
Este dato aparecerá luego que en la atención registrada desde </t>
        </r>
        <r>
          <rPr>
            <b/>
            <sz val="9"/>
            <color indexed="81"/>
            <rFont val="Tahoma"/>
            <family val="2"/>
          </rPr>
          <t>el Módulo BOX - Pacientes Citados</t>
        </r>
        <r>
          <rPr>
            <sz val="9"/>
            <color indexed="81"/>
            <rFont val="Tahoma"/>
            <family val="2"/>
          </rPr>
          <t xml:space="preserve"> o desde </t>
        </r>
        <r>
          <rPr>
            <b/>
            <sz val="9"/>
            <color indexed="81"/>
            <rFont val="Tahoma"/>
            <family val="2"/>
          </rPr>
          <t>Agregar Documentos</t>
        </r>
        <r>
          <rPr>
            <sz val="9"/>
            <color indexed="81"/>
            <rFont val="Tahoma"/>
            <family val="2"/>
          </rPr>
          <t xml:space="preserve">.
 1.- En la atención agregar el </t>
        </r>
        <r>
          <rPr>
            <b/>
            <sz val="9"/>
            <color indexed="81"/>
            <rFont val="Tahoma"/>
            <family val="2"/>
          </rPr>
          <t>ciclo vital</t>
        </r>
        <r>
          <rPr>
            <sz val="9"/>
            <color indexed="81"/>
            <rFont val="Tahoma"/>
            <family val="2"/>
          </rPr>
          <t xml:space="preserve"> de la atencion o en el anamnesis el </t>
        </r>
        <r>
          <rPr>
            <b/>
            <sz val="9"/>
            <color indexed="81"/>
            <rFont val="Tahoma"/>
            <family val="2"/>
          </rPr>
          <t>ciclo vital</t>
        </r>
        <r>
          <rPr>
            <sz val="9"/>
            <color indexed="81"/>
            <rFont val="Tahoma"/>
            <family val="2"/>
          </rPr>
          <t xml:space="preserve"> ó </t>
        </r>
        <r>
          <rPr>
            <b/>
            <sz val="9"/>
            <color indexed="81"/>
            <rFont val="Tahoma"/>
            <family val="2"/>
          </rPr>
          <t>etapa</t>
        </r>
        <r>
          <rPr>
            <sz val="9"/>
            <color indexed="81"/>
            <rFont val="Tahoma"/>
            <family val="2"/>
          </rPr>
          <t xml:space="preserve"> con alguno de los valores </t>
        </r>
        <r>
          <rPr>
            <b/>
            <sz val="9"/>
            <color indexed="81"/>
            <rFont val="Tahoma"/>
            <family val="2"/>
          </rPr>
          <t xml:space="preserve">Embarazada primigesta, 
                                                                                                                                                                                                           Embarazada
</t>
        </r>
        <r>
          <rPr>
            <sz val="9"/>
            <color indexed="81"/>
            <rFont val="Tahoma"/>
            <family val="2"/>
          </rPr>
          <t xml:space="preserve">
 2.- Ingresar el Formulario </t>
        </r>
        <r>
          <rPr>
            <b/>
            <sz val="9"/>
            <color indexed="81"/>
            <rFont val="Tahoma"/>
            <family val="2"/>
          </rPr>
          <t>Gestante y Puérpera</t>
        </r>
        <r>
          <rPr>
            <sz val="9"/>
            <color indexed="81"/>
            <rFont val="Tahoma"/>
            <family val="2"/>
          </rPr>
          <t xml:space="preserve"> se registre:
        * En la sección</t>
        </r>
        <r>
          <rPr>
            <b/>
            <sz val="9"/>
            <color indexed="81"/>
            <rFont val="Tahoma"/>
            <family val="2"/>
          </rPr>
          <t xml:space="preserve"> Antecedentes Embarazo Actual  (Largo Alcance)  -  </t>
        </r>
        <r>
          <rPr>
            <sz val="9"/>
            <color indexed="81"/>
            <rFont val="Tahoma"/>
            <family val="2"/>
          </rPr>
          <t>En el campo</t>
        </r>
        <r>
          <rPr>
            <b/>
            <sz val="9"/>
            <color indexed="81"/>
            <rFont val="Tahoma"/>
            <family val="2"/>
          </rPr>
          <t xml:space="preserve"> ¿Es Alto Riesgo Obstetrico? </t>
        </r>
        <r>
          <rPr>
            <sz val="9"/>
            <color indexed="81"/>
            <rFont val="Tahoma"/>
            <family val="2"/>
          </rPr>
          <t>con valor</t>
        </r>
        <r>
          <rPr>
            <b/>
            <sz val="9"/>
            <color indexed="81"/>
            <rFont val="Tahoma"/>
            <family val="2"/>
          </rPr>
          <t xml:space="preserve"> Si
                                                                                                         -  </t>
        </r>
        <r>
          <rPr>
            <sz val="9"/>
            <color indexed="81"/>
            <rFont val="Tahoma"/>
            <family val="2"/>
          </rPr>
          <t>En el campo</t>
        </r>
        <r>
          <rPr>
            <b/>
            <sz val="9"/>
            <color indexed="81"/>
            <rFont val="Tahoma"/>
            <family val="2"/>
          </rPr>
          <t xml:space="preserve"> Patologías Alto Riesgo Obstétrico </t>
        </r>
        <r>
          <rPr>
            <sz val="9"/>
            <color indexed="81"/>
            <rFont val="Tahoma"/>
            <family val="2"/>
          </rPr>
          <t>con alguno de los valores</t>
        </r>
        <r>
          <rPr>
            <b/>
            <sz val="9"/>
            <color indexed="81"/>
            <rFont val="Tahoma"/>
            <family val="2"/>
          </rPr>
          <t xml:space="preserve">  Otras patologías del embarazo
                                                                                                          -  </t>
        </r>
        <r>
          <rPr>
            <sz val="9"/>
            <color indexed="81"/>
            <rFont val="Tahoma"/>
            <family val="2"/>
          </rPr>
          <t>En el campo</t>
        </r>
        <r>
          <rPr>
            <b/>
            <sz val="9"/>
            <color indexed="81"/>
            <rFont val="Tahoma"/>
            <family val="2"/>
          </rPr>
          <t xml:space="preserve"> Estado </t>
        </r>
        <r>
          <rPr>
            <sz val="9"/>
            <color indexed="81"/>
            <rFont val="Tahoma"/>
            <family val="2"/>
          </rPr>
          <t>con alguno de los valores</t>
        </r>
        <r>
          <rPr>
            <b/>
            <sz val="9"/>
            <color indexed="81"/>
            <rFont val="Tahoma"/>
            <family val="2"/>
          </rPr>
          <t xml:space="preserve"> Ingreso, 
                                                                                                                                                                                          Seguimiento 
--&gt; Resultado Evaluación Psicosocial Abreviada  (Largo Alcance)
                                                                                                           -  </t>
        </r>
        <r>
          <rPr>
            <sz val="9"/>
            <color indexed="81"/>
            <rFont val="Tahoma"/>
            <family val="2"/>
          </rPr>
          <t>En el campo</t>
        </r>
        <r>
          <rPr>
            <b/>
            <sz val="9"/>
            <color indexed="81"/>
            <rFont val="Tahoma"/>
            <family val="2"/>
          </rPr>
          <t xml:space="preserve"> Riesgo Psicosocial </t>
        </r>
        <r>
          <rPr>
            <sz val="9"/>
            <color indexed="81"/>
            <rFont val="Tahoma"/>
            <family val="2"/>
          </rPr>
          <t>con valor</t>
        </r>
        <r>
          <rPr>
            <b/>
            <sz val="9"/>
            <color indexed="81"/>
            <rFont val="Tahoma"/>
            <family val="2"/>
          </rPr>
          <t xml:space="preserve"> Si ó No
        *</t>
        </r>
        <r>
          <rPr>
            <sz val="9"/>
            <color indexed="81"/>
            <rFont val="Tahoma"/>
            <family val="2"/>
          </rPr>
          <t xml:space="preserve"> En la sección</t>
        </r>
        <r>
          <rPr>
            <b/>
            <sz val="9"/>
            <color indexed="81"/>
            <rFont val="Tahoma"/>
            <family val="2"/>
          </rPr>
          <t xml:space="preserve"> Resultados Control Prenatal (Por Atención)
                                                                                           -  </t>
        </r>
        <r>
          <rPr>
            <sz val="9"/>
            <color indexed="81"/>
            <rFont val="Tahoma"/>
            <family val="2"/>
          </rPr>
          <t>En el campo</t>
        </r>
        <r>
          <rPr>
            <b/>
            <sz val="9"/>
            <color indexed="81"/>
            <rFont val="Tahoma"/>
            <family val="2"/>
          </rPr>
          <t xml:space="preserve"> Estado Nutricional</t>
        </r>
        <r>
          <rPr>
            <sz val="9"/>
            <color indexed="81"/>
            <rFont val="Tahoma"/>
            <family val="2"/>
          </rPr>
          <t xml:space="preserve"> con alguno de los valores</t>
        </r>
        <r>
          <rPr>
            <b/>
            <sz val="9"/>
            <color indexed="81"/>
            <rFont val="Tahoma"/>
            <family val="2"/>
          </rPr>
          <t xml:space="preserve"> Desnutrición,
                                                                                                                                                                                                  Riesgo de Desnutrir,
                                                                                                                                                                                                  Normal o Eutrófico,
                                                                                                                                                                                                  Sobrepeso,
                                                                                                                                                                                                  Obesidad,
                                                                                                                                                                                                   Obesidad Severa
                                                                                            ó
                                                                                           -  </t>
        </r>
        <r>
          <rPr>
            <sz val="9"/>
            <color indexed="81"/>
            <rFont val="Tahoma"/>
            <family val="2"/>
          </rPr>
          <t>En el campo</t>
        </r>
        <r>
          <rPr>
            <b/>
            <sz val="9"/>
            <color indexed="81"/>
            <rFont val="Tahoma"/>
            <family val="2"/>
          </rPr>
          <t xml:space="preserve"> Diagnóstico nutricional </t>
        </r>
        <r>
          <rPr>
            <sz val="9"/>
            <color indexed="81"/>
            <rFont val="Tahoma"/>
            <family val="2"/>
          </rPr>
          <t>con alguno de los valores</t>
        </r>
        <r>
          <rPr>
            <b/>
            <sz val="9"/>
            <color indexed="81"/>
            <rFont val="Tahoma"/>
            <family val="2"/>
          </rPr>
          <t xml:space="preserve"> Bajo Peso,
                                                                                                                                                                                                          Normal,
                                                                                                                                                                                                          Obesidad,
                                                                                                                                                                                                          Sobrepeso,
                                                                                                                                                                                                          Desnutrición,
                                                                                                                                                                                                          Riesgo de Desnutrir,
                                                                                                                                                                                                          Normal o Eutrófico,
                                                                                                                                                                                                          Obesidad Severa                                                                                                                                                                        
                                                                                           - </t>
        </r>
        <r>
          <rPr>
            <sz val="9"/>
            <color indexed="81"/>
            <rFont val="Tahoma"/>
            <family val="2"/>
          </rPr>
          <t xml:space="preserve"> En el campo </t>
        </r>
        <r>
          <rPr>
            <b/>
            <sz val="9"/>
            <color indexed="81"/>
            <rFont val="Tahoma"/>
            <family val="2"/>
          </rPr>
          <t xml:space="preserve">Fecha del Próximo Control tener un valor fecha aproximada de citación al programa, si luego de esta fecha transcurren 29 días el paciente quedara inasistente al control.                                                                                                   </t>
        </r>
        <r>
          <rPr>
            <sz val="9"/>
            <color indexed="81"/>
            <rFont val="Tahoma"/>
            <family val="2"/>
          </rPr>
          <t xml:space="preserve">
ó
3.- Ingresar el Formulario </t>
        </r>
        <r>
          <rPr>
            <b/>
            <sz val="9"/>
            <color indexed="81"/>
            <rFont val="Tahoma"/>
            <family val="2"/>
          </rPr>
          <t xml:space="preserve">Pauta Breve de Evaluación de Riesgo Psicosocial </t>
        </r>
        <r>
          <rPr>
            <sz val="9"/>
            <color indexed="81"/>
            <rFont val="Tahoma"/>
            <family val="2"/>
          </rPr>
          <t xml:space="preserve">se registre:
        * En la sección </t>
        </r>
        <r>
          <rPr>
            <b/>
            <sz val="9"/>
            <color indexed="81"/>
            <rFont val="Tahoma"/>
            <family val="2"/>
          </rPr>
          <t>Resultado (Por Atención)</t>
        </r>
        <r>
          <rPr>
            <sz val="9"/>
            <color indexed="81"/>
            <rFont val="Tahoma"/>
            <family val="2"/>
          </rPr>
          <t xml:space="preserve"> --&gt; -  En el campo </t>
        </r>
        <r>
          <rPr>
            <b/>
            <sz val="9"/>
            <color indexed="81"/>
            <rFont val="Tahoma"/>
            <family val="2"/>
          </rPr>
          <t>Riesgo Psicosocial</t>
        </r>
        <r>
          <rPr>
            <sz val="9"/>
            <color indexed="81"/>
            <rFont val="Tahoma"/>
            <family val="2"/>
          </rPr>
          <t xml:space="preserve"> con valor </t>
        </r>
        <r>
          <rPr>
            <b/>
            <sz val="9"/>
            <color indexed="81"/>
            <rFont val="Tahoma"/>
            <family val="2"/>
          </rPr>
          <t xml:space="preserve">Si ó 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fmenares</author>
    <author>Felix Araya Molina</author>
    <author>Nicole Cisternas</author>
    <author>Miguel Figueroa Fuentes</author>
    <author>Andres Fuenzalida</author>
    <author>Ines Kohnenkamp</author>
    <author>Carolina Velasquez Ordonez</author>
    <author>-</author>
    <author>Camila Puebla</author>
    <author>Natalia Arancibia</author>
  </authors>
  <commentList>
    <comment ref="AH8" authorId="0" shapeId="0" xr:uid="{4FFE8571-C7C1-41A4-8656-15F409B34235}">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J8" authorId="0" shapeId="0" xr:uid="{01F070A8-F058-40E7-889F-E7A1C00CBE88}">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11" authorId="1" shapeId="0" xr:uid="{E7755E6E-DECC-45CD-9649-7EAC00BCF35C}">
      <text>
        <r>
          <rPr>
            <sz val="9"/>
            <color indexed="81"/>
            <rFont val="Tahoma"/>
            <family val="2"/>
          </rPr>
          <t xml:space="preserve">
Corresponde a la población infantil de niños(as) menores de un mes hasta los 59 meses y 29 días que se encuentran bajo control en establecimientos de atención primaria,
Adicionalemnte deben tener un Indicador y Estado Nutricional registrado en el  Formulario Control de Crecimiento y Desarrollo (Control Sano)</t>
        </r>
      </text>
    </comment>
    <comment ref="B12" authorId="1" shapeId="0" xr:uid="{26E83DA6-E375-42F5-ADDA-2AAA7A595981}">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Peso/edad el valor mayor o igual a +2DS y  tener registrada la fecha de proximo control.</t>
        </r>
      </text>
    </comment>
    <comment ref="B13" authorId="1" shapeId="0" xr:uid="{CBD75510-5D0D-459A-8D81-7CF62598CD6A}">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Peso/edad el valor +1DS y  tener registrada la fecha de proximo control.</t>
        </r>
      </text>
    </comment>
    <comment ref="B15" authorId="1" shapeId="0" xr:uid="{F2FB2B8A-2144-4F0C-BD8C-0F9D6F2E8AD9}">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Peso/edad el valor  -1DS y  tener registrada la fecha de proximo control.</t>
        </r>
      </text>
    </comment>
    <comment ref="B16" authorId="1" shapeId="0" xr:uid="{B68411D6-5AB5-4FB0-9F3C-2B609D7FC2F6}">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Peso/edad el valor menor o igual a -2DS y  tener registrada la fecha de proximo control.</t>
        </r>
      </text>
    </comment>
    <comment ref="B18" authorId="1" shapeId="0" xr:uid="{76DB0549-6F8B-41F4-99EB-45CC8B8D121F}">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Peso/talla un valor Mayor o igual a +2DS y  tener registrada la fecha de proximo control.</t>
        </r>
      </text>
    </comment>
    <comment ref="B19" authorId="1" shapeId="0" xr:uid="{1DBF4687-4E65-4831-979D-DC36A6BF3A86}">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Peso/talla un valor igual a +1DS y  tener registrada la fecha de proximo control.</t>
        </r>
      </text>
    </comment>
    <comment ref="B21" authorId="1" shapeId="0" xr:uid="{8041C892-A251-4D7C-B426-63E2BA15A9D9}">
      <text>
        <r>
          <rPr>
            <b/>
            <sz val="9"/>
            <color indexed="81"/>
            <rFont val="Tahoma"/>
            <family val="2"/>
          </rPr>
          <t>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Peso/talla un valor igual a -1DS y  tener registrada la fecha de proximo control.</t>
        </r>
      </text>
    </comment>
    <comment ref="B22" authorId="1" shapeId="0" xr:uid="{88BAA2A1-D520-459F-A2CE-432681D6790A}">
      <text>
        <r>
          <rPr>
            <b/>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Peso/Talla un valor menor o igual a -2DS y  tener registrada la fecha de proximo control.
</t>
        </r>
      </text>
    </comment>
    <comment ref="B24" authorId="1" shapeId="0" xr:uid="{3C0CBE6E-1B73-4738-947D-2F5C739E6898}">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Talla/Edad un valor Mayor o igual a +2DS y  tener registrada la fecha de proximo control.</t>
        </r>
      </text>
    </comment>
    <comment ref="B25" authorId="1" shapeId="0" xr:uid="{CDFE810D-25C6-4BE8-AA42-2B4C612955F1}">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Talla/Edad un valor igual a +1DS y  tener registrada la fecha de proximo control.</t>
        </r>
      </text>
    </comment>
    <comment ref="B27" authorId="1" shapeId="0" xr:uid="{4BACBF1E-CF15-47A2-9040-D18895FEA82B}">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Talla/Edad un valor igual a -1DS y  tener registrada la fecha de proximo control.</t>
        </r>
      </text>
    </comment>
    <comment ref="B28" authorId="1" shapeId="0" xr:uid="{4BD4A1D9-268B-41E3-901D-D7CC75BF6624}">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Talla/Edad el valor menor o igual a -2DS y  tener registrada la fecha de proximo control.</t>
        </r>
      </text>
    </comment>
    <comment ref="B30" authorId="1" shapeId="0" xr:uid="{C3259077-F460-46DF-BD05-9245DB49657E}">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Talla/Edad el valor Normal o Mediana y  tener registrada la fecha de proximo control.</t>
        </r>
      </text>
    </comment>
    <comment ref="B31" authorId="1" shapeId="0" xr:uid="{93FDC4E6-4751-4F9F-AE26-CBA28B5F5B50}">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Estado Nutricional  el valor Riesgo Desnutrir</t>
        </r>
      </text>
    </comment>
    <comment ref="B32" authorId="1" shapeId="0" xr:uid="{600E3588-AA55-4B7A-88B1-0CAF12448126}">
      <text>
        <r>
          <rPr>
            <b/>
            <sz val="9"/>
            <color indexed="81"/>
            <rFont val="Tahoma"/>
            <family val="2"/>
          </rPr>
          <t>Felix Araya Molina:</t>
        </r>
        <r>
          <rPr>
            <sz val="9"/>
            <color indexed="81"/>
            <rFont val="Tahoma"/>
            <family val="2"/>
          </rPr>
          <t xml:space="preserve">
</t>
        </r>
      </text>
    </comment>
    <comment ref="B33" authorId="1" shapeId="0" xr:uid="{7793B8EA-48A2-457C-ADF3-46FC44F2D3FC}">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Estado Nutricional  el valor Sobrepeso</t>
        </r>
      </text>
    </comment>
    <comment ref="B34" authorId="1" shapeId="0" xr:uid="{51C257D2-FD01-42EE-8792-0FFD49F7DF4D}">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Estado Nutricional  el valor Obesidad</t>
        </r>
      </text>
    </comment>
    <comment ref="B35" authorId="1" shapeId="0" xr:uid="{1F00EA8D-1944-46A2-8A3F-DC0BB7E59350}">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Estado Nutricional  el valor Normal.</t>
        </r>
      </text>
    </comment>
    <comment ref="B37" authorId="1" shapeId="0" xr:uid="{ABF6F58A-16BF-4424-BEB2-10CCD5DD464E}">
      <text>
        <r>
          <rPr>
            <sz val="9"/>
            <color indexed="81"/>
            <rFont val="Tahoma"/>
            <family val="2"/>
          </rPr>
          <t xml:space="preserve">
Se considera como Población Bajo Control a aquellos que cumplan con las sgtes. condiciones:
Registrada la atención en el Módulo BOX - Pacientes Citados o en Agregar Documentos a una atención, en el Formulario Control de Crecimiento y Desarrollo (Control Sano), se registre en el campo  Estado Nutricional  el valor Desnutrición Secundaria</t>
        </r>
      </text>
    </comment>
    <comment ref="A39" authorId="1" shapeId="0" xr:uid="{4D95880D-D0C5-4CBB-A86F-BE9B2B913620}">
      <text>
        <r>
          <rPr>
            <sz val="9"/>
            <color indexed="81"/>
            <rFont val="Tahoma"/>
            <family val="2"/>
          </rPr>
          <t xml:space="preserve">
Se considera como Población Bajo Control a aquellos que cumplan con las siguientes condiciones:
Registrada la atención en el Módulo BOX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Sin evaluación nutricional </t>
        </r>
        <r>
          <rPr>
            <sz val="9"/>
            <color indexed="81"/>
            <rFont val="Tahoma"/>
            <family val="2"/>
          </rPr>
          <t xml:space="preserve"> uno de los siguientes valores:
</t>
        </r>
        <r>
          <rPr>
            <b/>
            <sz val="9"/>
            <color indexed="81"/>
            <rFont val="Tahoma"/>
            <family val="2"/>
          </rPr>
          <t>- Recién nacido
- Condición especial de salud</t>
        </r>
      </text>
    </comment>
    <comment ref="A41" authorId="1" shapeId="0" xr:uid="{4E4E0B47-EC6A-45C7-9818-8982A3857570}">
      <text>
        <r>
          <rPr>
            <sz val="9"/>
            <color indexed="81"/>
            <rFont val="Tahoma"/>
            <family val="2"/>
          </rPr>
          <t xml:space="preserve">
Corresponde a la población infantil de niños(as) de entre 60 meses y hasta 9 años 11 meses 29 días, que se encuentra con su control de salud al día y a aquella que en el caso de estar inasistente, no supera los plazos máximos de inasistencia definidos en la sección E. 
Incluye a todos los niños y niñas que han sido evaluados según su estado nutricional, de acuerdo con la norma vigente y los indicadores IMC/edad, talla/edad y perímetro de cintura/edad junto con 
aquellos que por su condición de salud no es posible clasificarlos con estos patrones de crecimiento 
para la evaluación del estado nutricional.</t>
        </r>
      </text>
    </comment>
    <comment ref="P42" authorId="2" shapeId="0" xr:uid="{BFC437D4-FF63-4BE1-AC0E-B842083D5F22}">
      <text>
        <r>
          <rPr>
            <sz val="9"/>
            <color indexed="81"/>
            <rFont val="Tahoma"/>
            <family val="2"/>
          </rPr>
          <t xml:space="preserve">Contabiliza los usuarios en control que en el módulo </t>
        </r>
        <r>
          <rPr>
            <b/>
            <sz val="9"/>
            <color indexed="81"/>
            <rFont val="Tahoma"/>
            <family val="2"/>
          </rPr>
          <t xml:space="preserve">Admisión - Inscripción </t>
        </r>
        <r>
          <rPr>
            <sz val="9"/>
            <color indexed="81"/>
            <rFont val="Tahoma"/>
            <family val="2"/>
          </rPr>
          <t>o Box indique algún pueblo originario.</t>
        </r>
      </text>
    </comment>
    <comment ref="R42" authorId="2" shapeId="0" xr:uid="{A8D1BD06-47E1-4E7F-96A0-B5854FDEA702}">
      <text>
        <r>
          <rPr>
            <sz val="9"/>
            <color indexed="81"/>
            <rFont val="Tahoma"/>
            <family val="2"/>
          </rPr>
          <t xml:space="preserve">Se contabilizara a los pacientes que tengan en  Antecedentes del usuario APS / Pestaña "Identificacion"  Item  Alertas Adm.  </t>
        </r>
        <r>
          <rPr>
            <b/>
            <sz val="9"/>
            <color indexed="81"/>
            <rFont val="Tahoma"/>
            <family val="2"/>
          </rPr>
          <t>"MIGRANTES"</t>
        </r>
        <r>
          <rPr>
            <sz val="9"/>
            <color indexed="81"/>
            <rFont val="Tahoma"/>
            <family val="2"/>
          </rPr>
          <t xml:space="preserve">
</t>
        </r>
      </text>
    </comment>
    <comment ref="A44" authorId="1" shapeId="0" xr:uid="{D1A921DC-C07D-43B7-91C6-9C6AA903F0E6}">
      <text>
        <r>
          <rPr>
            <sz val="9"/>
            <color indexed="81"/>
            <rFont val="Tahoma"/>
            <family val="2"/>
          </rPr>
          <t xml:space="preserve">
Corresponde a la población infantil de niños(as) desde 61 meses hasta los 9 años 11 meses y 29 días que se encuentran bajo control en establecimientos de atención primaria,
Adicionalemnte deben tener un Indicador y Estado Nutricional registrado en el  Formulario Control de Crecimiento y Desarrollo (Control Sano)</t>
        </r>
      </text>
    </comment>
    <comment ref="B45" authorId="1" shapeId="0" xr:uid="{CF11912E-B94C-401F-9A22-F0C03CF4C6FE}">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 - Pacientes </t>
        </r>
        <r>
          <rPr>
            <sz val="9"/>
            <color indexed="81"/>
            <rFont val="Tahoma"/>
            <family val="2"/>
          </rPr>
          <t>Citados o en Agregar Documentos a una atención,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IMC/edad</t>
        </r>
        <r>
          <rPr>
            <sz val="9"/>
            <color indexed="81"/>
            <rFont val="Tahoma"/>
            <family val="2"/>
          </rPr>
          <t xml:space="preserve"> el valor </t>
        </r>
        <r>
          <rPr>
            <b/>
            <sz val="9"/>
            <color indexed="81"/>
            <rFont val="Tahoma"/>
            <family val="2"/>
          </rPr>
          <t xml:space="preserve">+ 3 D.S. (&gt;= 3 ) </t>
        </r>
        <r>
          <rPr>
            <sz val="9"/>
            <color indexed="81"/>
            <rFont val="Tahoma"/>
            <family val="2"/>
          </rPr>
          <t>y  tener registrada la</t>
        </r>
        <r>
          <rPr>
            <b/>
            <sz val="9"/>
            <color indexed="81"/>
            <rFont val="Tahoma"/>
            <family val="2"/>
          </rPr>
          <t xml:space="preserve"> fecha de proximo control.</t>
        </r>
      </text>
    </comment>
    <comment ref="B46" authorId="1" shapeId="0" xr:uid="{0289733F-DB4A-4CE7-9F8E-BED217BE9757}">
      <text>
        <r>
          <rPr>
            <sz val="9"/>
            <color indexed="81"/>
            <rFont val="Tahoma"/>
            <family val="2"/>
          </rPr>
          <t xml:space="preserve">
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Agregar Documentos a una atención,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IMC/edad</t>
        </r>
        <r>
          <rPr>
            <sz val="9"/>
            <color indexed="81"/>
            <rFont val="Tahoma"/>
            <family val="2"/>
          </rPr>
          <t xml:space="preserve"> el valor </t>
        </r>
        <r>
          <rPr>
            <b/>
            <sz val="9"/>
            <color indexed="81"/>
            <rFont val="Tahoma"/>
            <family val="2"/>
          </rPr>
          <t>+ 2 D.S. (&gt;= +2.0 a +2.9)</t>
        </r>
        <r>
          <rPr>
            <sz val="9"/>
            <color indexed="81"/>
            <rFont val="Tahoma"/>
            <family val="2"/>
          </rPr>
          <t xml:space="preserve"> y  tener registrada la </t>
        </r>
        <r>
          <rPr>
            <b/>
            <sz val="9"/>
            <color indexed="81"/>
            <rFont val="Tahoma"/>
            <family val="2"/>
          </rPr>
          <t>fecha de próximo control.</t>
        </r>
      </text>
    </comment>
    <comment ref="B47" authorId="1" shapeId="0" xr:uid="{8B7D8D59-C200-49E0-A8A4-9599656E9BE7}">
      <text>
        <r>
          <rPr>
            <sz val="9"/>
            <color indexed="81"/>
            <rFont val="Tahoma"/>
            <family val="2"/>
          </rPr>
          <t xml:space="preserve">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en el campo</t>
        </r>
        <r>
          <rPr>
            <b/>
            <sz val="9"/>
            <color indexed="81"/>
            <rFont val="Tahoma"/>
            <family val="2"/>
          </rPr>
          <t xml:space="preserve"> IMC/edad el valor + 1 D.S. (&gt;= +1.0 a +1.9)</t>
        </r>
        <r>
          <rPr>
            <sz val="9"/>
            <color indexed="81"/>
            <rFont val="Tahoma"/>
            <family val="2"/>
          </rPr>
          <t xml:space="preserve"> y tener registrada la </t>
        </r>
        <r>
          <rPr>
            <b/>
            <sz val="9"/>
            <color indexed="81"/>
            <rFont val="Tahoma"/>
            <family val="2"/>
          </rPr>
          <t>fecha de próximo control.</t>
        </r>
      </text>
    </comment>
    <comment ref="B49" authorId="1" shapeId="0" xr:uid="{A1EE856D-2A75-4AEB-84FB-6F26A55F8237}">
      <text>
        <r>
          <rPr>
            <sz val="9"/>
            <color indexed="81"/>
            <rFont val="Tahoma"/>
            <family val="2"/>
          </rPr>
          <t xml:space="preserve">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en el campo</t>
        </r>
        <r>
          <rPr>
            <b/>
            <sz val="9"/>
            <color indexed="81"/>
            <rFont val="Tahoma"/>
            <family val="2"/>
          </rPr>
          <t xml:space="preserve"> IMC/edad el valor - 1 D.S. (&lt;= -1.0 a -1.9)</t>
        </r>
        <r>
          <rPr>
            <sz val="9"/>
            <color indexed="81"/>
            <rFont val="Tahoma"/>
            <family val="2"/>
          </rPr>
          <t xml:space="preserve"> y tener registrada la </t>
        </r>
        <r>
          <rPr>
            <b/>
            <sz val="9"/>
            <color indexed="81"/>
            <rFont val="Tahoma"/>
            <family val="2"/>
          </rPr>
          <t>fecha de próximo control.</t>
        </r>
      </text>
    </comment>
    <comment ref="B50" authorId="1" shapeId="0" xr:uid="{32F99D70-0937-4564-915C-99D0C9D61DAE}">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 -</t>
        </r>
        <r>
          <rPr>
            <sz val="9"/>
            <color indexed="81"/>
            <rFont val="Tahoma"/>
            <family val="2"/>
          </rPr>
          <t xml:space="preserve">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IMC/edad el valor - 2 D.S. (&lt;= -2.0)</t>
        </r>
        <r>
          <rPr>
            <sz val="9"/>
            <color indexed="81"/>
            <rFont val="Tahoma"/>
            <family val="2"/>
          </rPr>
          <t xml:space="preserve"> y tener registrada la fecha de próximo control.</t>
        </r>
      </text>
    </comment>
    <comment ref="B52" authorId="1" shapeId="0" xr:uid="{B710C920-2211-484E-B03F-7D5FE390BF54}">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IMC/edad el valor Normal o Mediana y tener registrada la fecha de próximo control.</t>
        </r>
      </text>
    </comment>
    <comment ref="B53" authorId="1" shapeId="0" xr:uid="{A4FBF1E5-F7FB-42C5-A1A0-13B6F00A139A}">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Talla/edad un valor mayor o igual a +2D y tener registrada la fecha de próximo control.</t>
        </r>
      </text>
    </comment>
    <comment ref="B54" authorId="1" shapeId="0" xr:uid="{5CE0E8D5-BF13-4C05-8249-093FCE44FF45}">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 el valor +1DS y tener registrada la fecha de próximo control.</t>
        </r>
      </text>
    </comment>
    <comment ref="B56" authorId="1" shapeId="0" xr:uid="{37C80E88-01F2-468B-9A7C-44DFF61BCEEE}">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t>
        </r>
        <r>
          <rPr>
            <b/>
            <sz val="9"/>
            <color indexed="81"/>
            <rFont val="Tahoma"/>
            <family val="2"/>
          </rPr>
          <t>Formulario Control de Crecimiento y Desarrollo (Control Sano)</t>
        </r>
        <r>
          <rPr>
            <sz val="9"/>
            <color indexed="81"/>
            <rFont val="Tahoma"/>
            <family val="2"/>
          </rPr>
          <t xml:space="preserve">, se registre en el campo </t>
        </r>
        <r>
          <rPr>
            <b/>
            <sz val="9"/>
            <color indexed="81"/>
            <rFont val="Tahoma"/>
            <family val="2"/>
          </rPr>
          <t>Talla/edad el valor -1DS y tener registrada la fecha de próximo control.</t>
        </r>
        <r>
          <rPr>
            <sz val="9"/>
            <color indexed="81"/>
            <rFont val="Tahoma"/>
            <family val="2"/>
          </rPr>
          <t xml:space="preserve">
</t>
        </r>
      </text>
    </comment>
    <comment ref="B57" authorId="1" shapeId="0" xr:uid="{3102E83B-F5FE-4066-B374-FB9A69B59804}">
      <text>
        <r>
          <rPr>
            <b/>
            <sz val="9"/>
            <color indexed="81"/>
            <rFont val="Tahoma"/>
            <family val="2"/>
          </rPr>
          <t>Felix Araya Molina:</t>
        </r>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 -</t>
        </r>
        <r>
          <rPr>
            <sz val="9"/>
            <color indexed="81"/>
            <rFont val="Tahoma"/>
            <family val="2"/>
          </rPr>
          <t xml:space="preserve"> Pacientes Citados o en Agregar Documentos a una atención, en el</t>
        </r>
        <r>
          <rPr>
            <b/>
            <sz val="9"/>
            <color indexed="81"/>
            <rFont val="Tahoma"/>
            <family val="2"/>
          </rPr>
          <t xml:space="preserve"> Formulario Control de Crecimiento y Desarrollo (Control Sano)</t>
        </r>
        <r>
          <rPr>
            <sz val="9"/>
            <color indexed="81"/>
            <rFont val="Tahoma"/>
            <family val="2"/>
          </rPr>
          <t xml:space="preserve">, se registre en el campo </t>
        </r>
        <r>
          <rPr>
            <b/>
            <sz val="9"/>
            <color indexed="81"/>
            <rFont val="Tahoma"/>
            <family val="2"/>
          </rPr>
          <t>Talla/edad el valor -2DS y tener registrada la fecha de próximo control.</t>
        </r>
        <r>
          <rPr>
            <sz val="9"/>
            <color indexed="81"/>
            <rFont val="Tahoma"/>
            <family val="2"/>
          </rPr>
          <t xml:space="preserve">
</t>
        </r>
      </text>
    </comment>
    <comment ref="B59" authorId="1" shapeId="0" xr:uid="{0802CCD9-C720-4F71-B930-EC1D8ADA4541}">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t>
        </r>
        <r>
          <rPr>
            <b/>
            <sz val="9"/>
            <color indexed="81"/>
            <rFont val="Tahoma"/>
            <family val="2"/>
          </rPr>
          <t>Formulario Control de Crecimiento y Desarrollo (Control Sano),</t>
        </r>
        <r>
          <rPr>
            <sz val="9"/>
            <color indexed="81"/>
            <rFont val="Tahoma"/>
            <family val="2"/>
          </rPr>
          <t xml:space="preserve"> se registre en el campo </t>
        </r>
        <r>
          <rPr>
            <b/>
            <sz val="9"/>
            <color indexed="81"/>
            <rFont val="Tahoma"/>
            <family val="2"/>
          </rPr>
          <t>Talla/edad el valor Normal o Mediana</t>
        </r>
        <r>
          <rPr>
            <sz val="9"/>
            <color indexed="81"/>
            <rFont val="Tahoma"/>
            <family val="2"/>
          </rPr>
          <t xml:space="preserve"> y tener registrada la fecha de próximo control.</t>
        </r>
      </text>
    </comment>
    <comment ref="B60" authorId="1" shapeId="0" xr:uid="{1B09625C-6CB3-405E-BDBC-4BB9DF456612}">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t>
        </r>
        <r>
          <rPr>
            <b/>
            <sz val="9"/>
            <color indexed="81"/>
            <rFont val="Tahoma"/>
            <family val="2"/>
          </rPr>
          <t xml:space="preserve"> Formulario Control de Crecimiento y Desarrollo (Control Sano)</t>
        </r>
        <r>
          <rPr>
            <sz val="9"/>
            <color indexed="81"/>
            <rFont val="Tahoma"/>
            <family val="2"/>
          </rPr>
          <t>, se registre en el campo</t>
        </r>
        <r>
          <rPr>
            <b/>
            <sz val="9"/>
            <color indexed="81"/>
            <rFont val="Tahoma"/>
            <family val="2"/>
          </rPr>
          <t xml:space="preserve"> Perímetro cintura </t>
        </r>
        <r>
          <rPr>
            <sz val="9"/>
            <color indexed="81"/>
            <rFont val="Tahoma"/>
            <family val="2"/>
          </rPr>
          <t xml:space="preserve">algun valor, adicionalmente en el capo </t>
        </r>
        <r>
          <rPr>
            <b/>
            <sz val="9"/>
            <color indexed="81"/>
            <rFont val="Tahoma"/>
            <family val="2"/>
          </rPr>
          <t>Cintura/edad se registre el valor Normal &lt;p75 y tener registrada la fecha de próximo control.</t>
        </r>
      </text>
    </comment>
    <comment ref="B61" authorId="1" shapeId="0" xr:uid="{638D41A2-6F3F-4C9D-B97F-D1F5CADE88FE}">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 </t>
        </r>
        <r>
          <rPr>
            <sz val="9"/>
            <color indexed="81"/>
            <rFont val="Tahoma"/>
            <family val="2"/>
          </rPr>
          <t xml:space="preserve">- Pacientes Citados o en Agregar Documentos a una atención, en el </t>
        </r>
        <r>
          <rPr>
            <b/>
            <sz val="9"/>
            <color indexed="81"/>
            <rFont val="Tahoma"/>
            <family val="2"/>
          </rPr>
          <t>Formulario Control de Crecimiento y Desarrollo (Control Sano)</t>
        </r>
        <r>
          <rPr>
            <sz val="9"/>
            <color indexed="81"/>
            <rFont val="Tahoma"/>
            <family val="2"/>
          </rPr>
          <t xml:space="preserve">, se registre en el campo </t>
        </r>
        <r>
          <rPr>
            <b/>
            <sz val="9"/>
            <color indexed="81"/>
            <rFont val="Tahoma"/>
            <family val="2"/>
          </rPr>
          <t>Perímetro cintura algun valor</t>
        </r>
        <r>
          <rPr>
            <sz val="9"/>
            <color indexed="81"/>
            <rFont val="Tahoma"/>
            <family val="2"/>
          </rPr>
          <t xml:space="preserve">, adicionalmente en el capo </t>
        </r>
        <r>
          <rPr>
            <b/>
            <sz val="9"/>
            <color indexed="81"/>
            <rFont val="Tahoma"/>
            <family val="2"/>
          </rPr>
          <t>Cintura/edad se registre el valor Riesgo de obesidad abdominal 75&lt;p&lt;90  y tener registrada la fecha de próximo control.</t>
        </r>
      </text>
    </comment>
    <comment ref="B62" authorId="1" shapeId="0" xr:uid="{23FD7B75-4A5E-469D-ACBC-22014478FBFD}">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Control de </t>
        </r>
        <r>
          <rPr>
            <b/>
            <sz val="9"/>
            <color indexed="81"/>
            <rFont val="Tahoma"/>
            <family val="2"/>
          </rPr>
          <t>Crecimiento y Desarrollo (Control Sano)</t>
        </r>
        <r>
          <rPr>
            <sz val="9"/>
            <color indexed="81"/>
            <rFont val="Tahoma"/>
            <family val="2"/>
          </rPr>
          <t>, se registre en el campo</t>
        </r>
        <r>
          <rPr>
            <b/>
            <sz val="9"/>
            <color indexed="81"/>
            <rFont val="Tahoma"/>
            <family val="2"/>
          </rPr>
          <t xml:space="preserve"> Perímetro cintura algun valor, adicionalmente en el capo Cintura/edad se registre el valor Obesidad abdominal &gt;p90 y tener registrada la fecha de próximo control.</t>
        </r>
      </text>
    </comment>
    <comment ref="B64" authorId="1" shapeId="0" xr:uid="{2202030B-6C10-4FC1-961C-7D3F8FDCEE5A}">
      <text>
        <r>
          <rPr>
            <sz val="9"/>
            <color indexed="81"/>
            <rFont val="Tahoma"/>
            <family val="2"/>
          </rPr>
          <t xml:space="preserve">
Se considera como Población Bajo Control a aquellos que cumplan con las sgtes. condiciones:
Registrada la atención en el </t>
        </r>
        <r>
          <rPr>
            <b/>
            <sz val="9"/>
            <color indexed="81"/>
            <rFont val="Tahoma"/>
            <family val="2"/>
          </rPr>
          <t xml:space="preserve">Módulo BOX </t>
        </r>
        <r>
          <rPr>
            <sz val="9"/>
            <color indexed="81"/>
            <rFont val="Tahoma"/>
            <family val="2"/>
          </rPr>
          <t xml:space="preserve">-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  el valor Riesgo Desnutrir</t>
        </r>
      </text>
    </comment>
    <comment ref="B65" authorId="1" shapeId="0" xr:uid="{D5628B99-D7B1-4C26-B792-D825567715D0}">
      <text>
        <r>
          <rPr>
            <sz val="9"/>
            <color indexed="81"/>
            <rFont val="Tahoma"/>
            <family val="2"/>
          </rPr>
          <t xml:space="preserve">
Se considera como Población Bajo Control a aquellos que cumplan con las sgtes. condiciones:
Registrada la atención en el </t>
        </r>
        <r>
          <rPr>
            <b/>
            <sz val="9"/>
            <color indexed="81"/>
            <rFont val="Tahoma"/>
            <family val="2"/>
          </rPr>
          <t xml:space="preserve">Módulo BOX </t>
        </r>
        <r>
          <rPr>
            <sz val="9"/>
            <color indexed="81"/>
            <rFont val="Tahoma"/>
            <family val="2"/>
          </rPr>
          <t>- Pacientes Citados o en Agregar Documentos a una atención, en el Formulario</t>
        </r>
        <r>
          <rPr>
            <b/>
            <sz val="9"/>
            <color indexed="81"/>
            <rFont val="Tahoma"/>
            <family val="2"/>
          </rPr>
          <t xml:space="preserve"> Control de Crecimiento y Desarrollo (Control Sano), se registre en el campo  Estado Nutricional  el valor Desnutrición</t>
        </r>
      </text>
    </comment>
    <comment ref="B66" authorId="1" shapeId="0" xr:uid="{94C8EF83-B6EB-48B6-9C97-93E758C80649}">
      <text>
        <r>
          <rPr>
            <sz val="9"/>
            <color indexed="81"/>
            <rFont val="Tahoma"/>
            <family val="2"/>
          </rPr>
          <t xml:space="preserve">Se considera como Población Bajo Control a aquellos que cumplan con las sgtes. condiciones:
Registrada la atención en el </t>
        </r>
        <r>
          <rPr>
            <b/>
            <sz val="9"/>
            <color indexed="81"/>
            <rFont val="Tahoma"/>
            <family val="2"/>
          </rPr>
          <t>Módulo BOX -</t>
        </r>
        <r>
          <rPr>
            <sz val="9"/>
            <color indexed="81"/>
            <rFont val="Tahoma"/>
            <family val="2"/>
          </rPr>
          <t xml:space="preserve">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Sobrepeso</t>
        </r>
        <r>
          <rPr>
            <sz val="9"/>
            <color indexed="81"/>
            <rFont val="Tahoma"/>
            <family val="2"/>
          </rPr>
          <t xml:space="preserve">
</t>
        </r>
      </text>
    </comment>
    <comment ref="B67" authorId="1" shapeId="0" xr:uid="{90508C7F-F938-4CBC-B4D1-006345D388F4}">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 </t>
        </r>
        <r>
          <rPr>
            <sz val="9"/>
            <color indexed="81"/>
            <rFont val="Tahoma"/>
            <family val="2"/>
          </rPr>
          <t xml:space="preserve">-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Obesidad</t>
        </r>
      </text>
    </comment>
    <comment ref="B68" authorId="1" shapeId="0" xr:uid="{6E3ABCD6-F68A-4370-9AAD-583B6F104B1B}">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Obeso Severo.</t>
        </r>
      </text>
    </comment>
    <comment ref="B69" authorId="1" shapeId="0" xr:uid="{1BDD916D-4C9A-4B99-BF3A-FE7E43741390}">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Normal.</t>
        </r>
      </text>
    </comment>
    <comment ref="B71" authorId="1" shapeId="0" xr:uid="{5874BB89-61EF-4845-9A85-19CEBEA93437}">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Desnutrición Secundaria.</t>
        </r>
      </text>
    </comment>
    <comment ref="A73" authorId="1" shapeId="0" xr:uid="{D91FB192-4E5C-4B36-8E7E-7FC1AFC69264}">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en el campo Sin diagnóstico nutricional  uno de los siguientes valores:
- </t>
        </r>
        <r>
          <rPr>
            <b/>
            <sz val="9"/>
            <color indexed="81"/>
            <rFont val="Tahoma"/>
            <family val="2"/>
          </rPr>
          <t>Recién nacido
- Condición especial de salud</t>
        </r>
      </text>
    </comment>
    <comment ref="C76" authorId="1" shapeId="0" xr:uid="{331A14ED-73CE-4703-BD49-82C772FBA009}">
      <text>
        <r>
          <rPr>
            <sz val="9"/>
            <color indexed="81"/>
            <rFont val="Tahoma"/>
            <family val="2"/>
          </rPr>
          <t xml:space="preserve">
Corresponde a los niños y niñas menores de 59 mese que se encuentran bajo control a los cuales se les ha aplicado:
 </t>
        </r>
        <r>
          <rPr>
            <b/>
            <sz val="9"/>
            <color indexed="81"/>
            <rFont val="Tahoma"/>
            <family val="2"/>
          </rPr>
          <t xml:space="preserve"> • Escala de Evaluación del Desarrollo Psicomotor (EEDP) de 1 a 24 meses según norma.
  •Test de Desarrollo Psicomotor (TEPSI) de 2 a 5 años, según norma.</t>
        </r>
        <r>
          <rPr>
            <sz val="9"/>
            <color indexed="81"/>
            <rFont val="Tahoma"/>
            <family val="2"/>
          </rPr>
          <t xml:space="preserve">
 Ambos integrados al control de salud, obteniendo los siguientes resultados: Normal con Rezago, Riesgo o Retraso.</t>
        </r>
      </text>
    </comment>
    <comment ref="F76" authorId="0" shapeId="0" xr:uid="{EEBACB6B-EA83-44A7-8CD8-99BDA79FCFE4}">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G76" authorId="3" shapeId="0" xr:uid="{AB4EEE66-C6DE-4E76-B2CE-0670169038FF}">
      <text>
        <r>
          <rPr>
            <sz val="9"/>
            <color indexed="81"/>
            <rFont val="Tahoma"/>
            <family val="2"/>
          </rPr>
          <t>Se contabilizara a los pacientes que tengan en  Antecedentes del usuario APS / Pestaña "Identificacion"  Item  Alertas Adm.</t>
        </r>
        <r>
          <rPr>
            <b/>
            <sz val="9"/>
            <color indexed="81"/>
            <rFont val="Tahoma"/>
            <family val="2"/>
          </rPr>
          <t xml:space="preserve">  "MIGRANTES"</t>
        </r>
      </text>
    </comment>
    <comment ref="B77" authorId="1" shapeId="0" xr:uid="{A5CFFD69-7118-4D49-80D1-E1C58345655F}">
      <text>
        <r>
          <rPr>
            <b/>
            <sz val="9"/>
            <color indexed="81"/>
            <rFont val="Tahoma"/>
            <family val="2"/>
          </rPr>
          <t>Felix Araya Molina:</t>
        </r>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 -</t>
        </r>
        <r>
          <rPr>
            <sz val="9"/>
            <color indexed="81"/>
            <rFont val="Tahoma"/>
            <family val="2"/>
          </rPr>
          <t xml:space="preserve"> Pacientes Citados o en Agregar Documentos a una atención, en el Formulario </t>
        </r>
        <r>
          <rPr>
            <b/>
            <sz val="9"/>
            <color indexed="81"/>
            <rFont val="Tahoma"/>
            <family val="2"/>
          </rPr>
          <t>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Escala de Evaluación del Desarrollo Psicomotor</t>
        </r>
        <r>
          <rPr>
            <sz val="9"/>
            <color indexed="81"/>
            <rFont val="Tahoma"/>
            <family val="2"/>
          </rPr>
          <t xml:space="preserve"> y en el campo </t>
        </r>
        <r>
          <rPr>
            <b/>
            <sz val="9"/>
            <color indexed="81"/>
            <rFont val="Tahoma"/>
            <family val="2"/>
          </rPr>
          <t>Resultado del Desarrollo Psicomotor</t>
        </r>
        <r>
          <rPr>
            <sz val="9"/>
            <color indexed="81"/>
            <rFont val="Tahoma"/>
            <family val="2"/>
          </rPr>
          <t xml:space="preserve"> el valor </t>
        </r>
        <r>
          <rPr>
            <b/>
            <sz val="9"/>
            <color indexed="81"/>
            <rFont val="Tahoma"/>
            <family val="2"/>
          </rPr>
          <t>Normal</t>
        </r>
        <r>
          <rPr>
            <sz val="9"/>
            <color indexed="81"/>
            <rFont val="Tahoma"/>
            <family val="2"/>
          </rPr>
          <t xml:space="preserve">
</t>
        </r>
      </text>
    </comment>
    <comment ref="B78" authorId="1" shapeId="0" xr:uid="{59A4C8E3-4189-4173-88B2-E25B5C8AECD8}">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 fecha del Próximo Control, fecha aproximada de su proxima citación al Programa.
Adicionalmente debe tener realizado el formulario</t>
        </r>
        <r>
          <rPr>
            <b/>
            <sz val="9"/>
            <color indexed="81"/>
            <rFont val="Tahoma"/>
            <family val="2"/>
          </rPr>
          <t xml:space="preserve"> Escala de Evaluación del Desarrollo Psicomotor y en el campo Resultado del Desarrollo Psicomotor el valor Normal</t>
        </r>
      </text>
    </comment>
    <comment ref="B79" authorId="1" shapeId="0" xr:uid="{AA4E9443-00D7-497A-9B05-3271DEEEC6CA}">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t>
        </r>
        <r>
          <rPr>
            <b/>
            <sz val="9"/>
            <color indexed="81"/>
            <rFont val="Tahoma"/>
            <family val="2"/>
          </rPr>
          <t xml:space="preserve"> Escala de Evaluación del Desarrollo Psicomotor y en el campo Resultado del Desarrollo Psicomotor el valor Normal</t>
        </r>
      </text>
    </comment>
    <comment ref="B80" authorId="1" shapeId="0" xr:uid="{A9BB7AF7-9F55-47FD-9059-BA4B82892413}">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 xml:space="preserve">Control de Crecimiento y Desarrollo (Control Sano), </t>
        </r>
        <r>
          <rPr>
            <sz val="9"/>
            <color indexed="81"/>
            <rFont val="Tahoma"/>
            <family val="2"/>
          </rPr>
          <t xml:space="preserve"> se registre la</t>
        </r>
        <r>
          <rPr>
            <b/>
            <sz val="9"/>
            <color indexed="81"/>
            <rFont val="Tahoma"/>
            <family val="2"/>
          </rPr>
          <t xml:space="preserve"> 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Test de Desarrollo Psicomotor 2-5 Años (TEPSI) y en el campo Resultado TEST total el valor Normal</t>
        </r>
      </text>
    </comment>
    <comment ref="B81" authorId="1" shapeId="0" xr:uid="{3EDE2693-7B3F-418C-BF6E-815239C3FA87}">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 xml:space="preserve">Control de Crecimiento y Desarrollo (Control Sano), </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 Test de Desarrollo Psicomotor 2-5 Años (TEPSI) y en el campo Resultado TEST total el valor Normal</t>
        </r>
      </text>
    </comment>
    <comment ref="B82" authorId="1" shapeId="0" xr:uid="{B8E4631D-B237-4168-A305-F812E8D91363}">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 y en el campo Resultado TEST total el valor Normal</t>
        </r>
      </text>
    </comment>
    <comment ref="B83" authorId="1" shapeId="0" xr:uid="{CD14CD74-F116-4C7F-8038-F934AFF737A2}">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 y en el campo Resultado TEST total el valor Normal</t>
        </r>
      </text>
    </comment>
    <comment ref="B84" authorId="1" shapeId="0" xr:uid="{97C0F482-0FA5-4AB4-97B7-49AD41357FAE}">
      <text>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la</t>
        </r>
        <r>
          <rPr>
            <b/>
            <sz val="9"/>
            <color indexed="81"/>
            <rFont val="Tahoma"/>
            <family val="2"/>
          </rPr>
          <t xml:space="preserve"> 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Escala de Evaluación del Desarrollo Psicomotor y en el campo Resultado del Desarrollo Psicomotor el valor Riesgo</t>
        </r>
      </text>
    </comment>
    <comment ref="B85" authorId="1" shapeId="0" xr:uid="{3E5CFE14-AAAD-444C-972D-AD574EC25D31}">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Escala de Evaluación del Desarrollo Psicomotor y en el campo Resultado del Desarrollo Psicomotor el valor Riesgo</t>
        </r>
      </text>
    </comment>
    <comment ref="B86" authorId="1" shapeId="0" xr:uid="{27417EBF-75EA-4944-A9EB-6E5F5294D7A2}">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fecha del Próximo Control, fecha aproximada de su proxima citación al Programa.
Adicionalmente debe tener realizado el formulario </t>
        </r>
        <r>
          <rPr>
            <b/>
            <sz val="9"/>
            <color indexed="81"/>
            <rFont val="Tahoma"/>
            <family val="2"/>
          </rPr>
          <t>Escala de Evaluación del Desarrollo Psicomotor y en el campo Resultado del Desarrollo Psicomotor el valor Normal con Rezago</t>
        </r>
      </text>
    </comment>
    <comment ref="B87" authorId="1" shapeId="0" xr:uid="{D6F7FDA4-9837-40E9-90EC-7D1548E0F9EC}">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t>
        </r>
        <r>
          <rPr>
            <b/>
            <sz val="9"/>
            <color indexed="81"/>
            <rFont val="Tahoma"/>
            <family val="2"/>
          </rPr>
          <t xml:space="preserve"> Test de Desarrollo Psicomotor 2-5 Años (TEPSI) y en el campo Resultado TEST total el valor Normal con Rezago</t>
        </r>
      </text>
    </comment>
    <comment ref="B88" authorId="1" shapeId="0" xr:uid="{4A89D73B-3CA1-4F6E-8DD0-D9A1977ACE27}">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 </t>
        </r>
        <r>
          <rPr>
            <b/>
            <sz val="9"/>
            <color indexed="81"/>
            <rFont val="Tahoma"/>
            <family val="2"/>
          </rPr>
          <t>Resultado TEST total el valor Normal con Rezago</t>
        </r>
        <r>
          <rPr>
            <sz val="9"/>
            <color indexed="81"/>
            <rFont val="Tahoma"/>
            <family val="2"/>
          </rPr>
          <t xml:space="preserve">
</t>
        </r>
      </text>
    </comment>
    <comment ref="B89" authorId="1" shapeId="0" xr:uid="{157C25AD-44CE-4AF2-9C60-BCEA4A0E4ABE}">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Test de </t>
        </r>
        <r>
          <rPr>
            <b/>
            <sz val="9"/>
            <color indexed="81"/>
            <rFont val="Tahoma"/>
            <family val="2"/>
          </rPr>
          <t>Desarrollo Psicomotor 2-5 Años (TEPSI)</t>
        </r>
        <r>
          <rPr>
            <sz val="9"/>
            <color indexed="81"/>
            <rFont val="Tahoma"/>
            <family val="2"/>
          </rPr>
          <t xml:space="preserve"> y en el campo Resultado </t>
        </r>
        <r>
          <rPr>
            <b/>
            <sz val="9"/>
            <color indexed="81"/>
            <rFont val="Tahoma"/>
            <family val="2"/>
          </rPr>
          <t>TEST total el valor Normal con Rezago</t>
        </r>
      </text>
    </comment>
    <comment ref="B90" authorId="1" shapeId="0" xr:uid="{133D1890-FAA3-486D-BFB3-49B3A2C81EBC}">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 y en el campo Resultado TEST total el valor Normal con Rezago</t>
        </r>
      </text>
    </comment>
    <comment ref="B91" authorId="1" shapeId="0" xr:uid="{6286B171-59B8-44F1-9C03-D30E6C7271B5}">
      <text>
        <r>
          <rPr>
            <sz val="9"/>
            <color indexed="81"/>
            <rFont val="Tahoma"/>
            <family val="2"/>
          </rPr>
          <t>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la</t>
        </r>
        <r>
          <rPr>
            <b/>
            <sz val="9"/>
            <color indexed="81"/>
            <rFont val="Tahoma"/>
            <family val="2"/>
          </rPr>
          <t xml:space="preserve"> fecha del Próximo Contro</t>
        </r>
        <r>
          <rPr>
            <sz val="9"/>
            <color indexed="81"/>
            <rFont val="Tahoma"/>
            <family val="2"/>
          </rPr>
          <t>l, fecha aproximada de su proxima citación al Programa.
Adicionalmente debe tener realizado el formulario</t>
        </r>
        <r>
          <rPr>
            <b/>
            <sz val="9"/>
            <color indexed="81"/>
            <rFont val="Tahoma"/>
            <family val="2"/>
          </rPr>
          <t xml:space="preserve"> Escala de Evaluación del Desarrollo Psicomotor</t>
        </r>
        <r>
          <rPr>
            <sz val="9"/>
            <color indexed="81"/>
            <rFont val="Tahoma"/>
            <family val="2"/>
          </rPr>
          <t xml:space="preserve"> y en el campo Resultado del Desarrollo Psicomotor el valor </t>
        </r>
        <r>
          <rPr>
            <b/>
            <sz val="9"/>
            <color indexed="81"/>
            <rFont val="Tahoma"/>
            <family val="2"/>
          </rPr>
          <t>Riesgo</t>
        </r>
      </text>
    </comment>
    <comment ref="B92" authorId="1" shapeId="0" xr:uid="{F099C528-560A-4EF8-B510-639C2A01338F}">
      <text>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se registre la fecha del</t>
        </r>
        <r>
          <rPr>
            <b/>
            <sz val="9"/>
            <color indexed="81"/>
            <rFont val="Tahoma"/>
            <family val="2"/>
          </rPr>
          <t xml:space="preserve"> Próximo Control</t>
        </r>
        <r>
          <rPr>
            <sz val="9"/>
            <color indexed="81"/>
            <rFont val="Tahoma"/>
            <family val="2"/>
          </rPr>
          <t>, fecha aproximada de su proxima citación al Programa.
Adicionalmente debe tener realizado el formulario</t>
        </r>
        <r>
          <rPr>
            <b/>
            <sz val="9"/>
            <color indexed="81"/>
            <rFont val="Tahoma"/>
            <family val="2"/>
          </rPr>
          <t xml:space="preserve"> Escala de Evaluación del Desarrollo Psicomotor</t>
        </r>
        <r>
          <rPr>
            <sz val="9"/>
            <color indexed="81"/>
            <rFont val="Tahoma"/>
            <family val="2"/>
          </rPr>
          <t xml:space="preserve"> y en el campo </t>
        </r>
        <r>
          <rPr>
            <b/>
            <sz val="9"/>
            <color indexed="81"/>
            <rFont val="Tahoma"/>
            <family val="2"/>
          </rPr>
          <t>Resultado del Desarrollo Psicomotor el valor Riesgo</t>
        </r>
      </text>
    </comment>
    <comment ref="B93" authorId="1" shapeId="0" xr:uid="{83FE9514-6CD2-4B49-9427-73AECB8C6450}">
      <text>
        <r>
          <rPr>
            <sz val="9"/>
            <color indexed="81"/>
            <rFont val="Tahoma"/>
            <family val="2"/>
          </rPr>
          <t xml:space="preserve">
Se considera como Población Bajo Control a aquellos que cumplan con las siguientes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Escala de Evaluación del Desarrollo Psicomotor</t>
        </r>
        <r>
          <rPr>
            <sz val="9"/>
            <color indexed="81"/>
            <rFont val="Tahoma"/>
            <family val="2"/>
          </rPr>
          <t xml:space="preserve"> y en el campo </t>
        </r>
        <r>
          <rPr>
            <b/>
            <sz val="9"/>
            <color indexed="81"/>
            <rFont val="Tahoma"/>
            <family val="2"/>
          </rPr>
          <t>Resultado del Desarrollo Psicomotor el valor Riesgo</t>
        </r>
      </text>
    </comment>
    <comment ref="B94" authorId="1" shapeId="0" xr:uid="{8948785F-D68C-4F50-A9BF-F4CA8C46BD09}">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 -</t>
        </r>
        <r>
          <rPr>
            <sz val="9"/>
            <color indexed="81"/>
            <rFont val="Tahoma"/>
            <family val="2"/>
          </rPr>
          <t xml:space="preserve">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t>
        </r>
        <r>
          <rPr>
            <b/>
            <sz val="9"/>
            <color indexed="81"/>
            <rFont val="Tahoma"/>
            <family val="2"/>
          </rPr>
          <t xml:space="preserve"> Resultado TEST total el valor Riesgo</t>
        </r>
      </text>
    </comment>
    <comment ref="B95" authorId="1" shapeId="0" xr:uid="{8E123BA0-8FA4-4BA0-A2D5-6328B699A33A}">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t>
        </r>
        <r>
          <rPr>
            <b/>
            <sz val="9"/>
            <color indexed="81"/>
            <rFont val="Tahoma"/>
            <family val="2"/>
          </rPr>
          <t>Formulario 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 Resultado</t>
        </r>
        <r>
          <rPr>
            <b/>
            <sz val="9"/>
            <color indexed="81"/>
            <rFont val="Tahoma"/>
            <family val="2"/>
          </rPr>
          <t xml:space="preserve"> TEST total el valor Riesgo</t>
        </r>
      </text>
    </comment>
    <comment ref="B96" authorId="1" shapeId="0" xr:uid="{D395AE26-4674-47F2-B753-77B616F0E197}">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t>
        </r>
        <r>
          <rPr>
            <b/>
            <sz val="9"/>
            <color indexed="81"/>
            <rFont val="Tahoma"/>
            <family val="2"/>
          </rPr>
          <t>Formulario 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 Resultado</t>
        </r>
        <r>
          <rPr>
            <b/>
            <sz val="9"/>
            <color indexed="81"/>
            <rFont val="Tahoma"/>
            <family val="2"/>
          </rPr>
          <t xml:space="preserve"> TEST total el valor Riesgo</t>
        </r>
      </text>
    </comment>
    <comment ref="B97" authorId="1" shapeId="0" xr:uid="{A376CDD5-93AD-4B7D-B555-8F45BEF76075}">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fecha aproximada de su proxima citación al Programa.
Adicionalmente debe tener realizado el formulario</t>
        </r>
        <r>
          <rPr>
            <b/>
            <sz val="9"/>
            <color indexed="81"/>
            <rFont val="Tahoma"/>
            <family val="2"/>
          </rPr>
          <t xml:space="preserve"> Test de Desarrollo Psicomotor 2-5 Años (TEPSI)</t>
        </r>
        <r>
          <rPr>
            <sz val="9"/>
            <color indexed="81"/>
            <rFont val="Tahoma"/>
            <family val="2"/>
          </rPr>
          <t xml:space="preserve"> y en el campo Resultado TEST total el valor</t>
        </r>
        <r>
          <rPr>
            <b/>
            <sz val="9"/>
            <color indexed="81"/>
            <rFont val="Tahoma"/>
            <family val="2"/>
          </rPr>
          <t xml:space="preserve"> Riesgo</t>
        </r>
      </text>
    </comment>
    <comment ref="B98" authorId="1" shapeId="0" xr:uid="{CC866397-A23D-452C-A272-81B5C565A1AA}">
      <text>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xml:space="preserve">, se registre la </t>
        </r>
        <r>
          <rPr>
            <b/>
            <sz val="9"/>
            <color indexed="81"/>
            <rFont val="Tahoma"/>
            <family val="2"/>
          </rPr>
          <t>fecha del Próximo Contro</t>
        </r>
        <r>
          <rPr>
            <sz val="9"/>
            <color indexed="81"/>
            <rFont val="Tahoma"/>
            <family val="2"/>
          </rPr>
          <t xml:space="preserve">l, fecha aproximada de su proxima citación al Programa.
Adicionalmente debe tener realizado el formulario </t>
        </r>
        <r>
          <rPr>
            <b/>
            <sz val="9"/>
            <color indexed="81"/>
            <rFont val="Tahoma"/>
            <family val="2"/>
          </rPr>
          <t>Escala de Evaluación del Desarrollo Psicomotor</t>
        </r>
        <r>
          <rPr>
            <sz val="9"/>
            <color indexed="81"/>
            <rFont val="Tahoma"/>
            <family val="2"/>
          </rPr>
          <t xml:space="preserve"> y en el campo Resultado del Desarrollo Psicomotor el valor</t>
        </r>
        <r>
          <rPr>
            <b/>
            <sz val="9"/>
            <color indexed="81"/>
            <rFont val="Tahoma"/>
            <family val="2"/>
          </rPr>
          <t xml:space="preserve"> Retraso</t>
        </r>
      </text>
    </comment>
    <comment ref="B99" authorId="1" shapeId="0" xr:uid="{D2CB2E1C-19FF-440D-A554-5ADE53F8104B}">
      <text>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Escala de Evaluación del Desarrollo Psicomotor</t>
        </r>
        <r>
          <rPr>
            <sz val="9"/>
            <color indexed="81"/>
            <rFont val="Tahoma"/>
            <family val="2"/>
          </rPr>
          <t xml:space="preserve"> y en el campo Resultado del </t>
        </r>
        <r>
          <rPr>
            <b/>
            <sz val="9"/>
            <color indexed="81"/>
            <rFont val="Tahoma"/>
            <family val="2"/>
          </rPr>
          <t>Desarrollo Psicomotor el valor Retraso</t>
        </r>
      </text>
    </comment>
    <comment ref="B100" authorId="1" shapeId="0" xr:uid="{26AA57AE-0733-490C-9A16-414597C769CC}">
      <text>
        <r>
          <rPr>
            <sz val="9"/>
            <color indexed="81"/>
            <rFont val="Tahoma"/>
            <family val="2"/>
          </rPr>
          <t xml:space="preserve">
Se considera como Población Bajo Control a aquellos que cumplan con las siguientes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Escala de Evaluación del Desarrollo Psicomotor</t>
        </r>
        <r>
          <rPr>
            <sz val="9"/>
            <color indexed="81"/>
            <rFont val="Tahoma"/>
            <family val="2"/>
          </rPr>
          <t xml:space="preserve"> y en el campo Resultado del Desarrollo Psicomotor el valor </t>
        </r>
        <r>
          <rPr>
            <b/>
            <sz val="9"/>
            <color indexed="81"/>
            <rFont val="Tahoma"/>
            <family val="2"/>
          </rPr>
          <t>Retraso</t>
        </r>
      </text>
    </comment>
    <comment ref="B101" authorId="1" shapeId="0" xr:uid="{5327B75E-0C55-46E4-A76A-948FD65F19D7}">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t>
        </r>
        <r>
          <rPr>
            <b/>
            <sz val="9"/>
            <color indexed="81"/>
            <rFont val="Tahoma"/>
            <family val="2"/>
          </rPr>
          <t xml:space="preserve"> fecha del Próximo Control,</t>
        </r>
        <r>
          <rPr>
            <sz val="9"/>
            <color indexed="81"/>
            <rFont val="Tahoma"/>
            <family val="2"/>
          </rPr>
          <t xml:space="preserve"> fecha aproximada de su proxima citación al Programa.
Adicionalmente debe tener realizado el formulario</t>
        </r>
        <r>
          <rPr>
            <b/>
            <sz val="9"/>
            <color indexed="81"/>
            <rFont val="Tahoma"/>
            <family val="2"/>
          </rPr>
          <t xml:space="preserve"> Test de Desarrollo Psicomotor 2-5 Años (TEPSI) </t>
        </r>
        <r>
          <rPr>
            <sz val="9"/>
            <color indexed="81"/>
            <rFont val="Tahoma"/>
            <family val="2"/>
          </rPr>
          <t xml:space="preserve">y en el campo Resultado TEST total el valor </t>
        </r>
        <r>
          <rPr>
            <b/>
            <sz val="9"/>
            <color indexed="81"/>
            <rFont val="Tahoma"/>
            <family val="2"/>
          </rPr>
          <t>Retraso</t>
        </r>
      </text>
    </comment>
    <comment ref="B102" authorId="1" shapeId="0" xr:uid="{45659F5E-5966-4ABF-886C-8A8C64BC778B}">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 Resultado TEST total el </t>
        </r>
        <r>
          <rPr>
            <b/>
            <sz val="9"/>
            <color indexed="81"/>
            <rFont val="Tahoma"/>
            <family val="2"/>
          </rPr>
          <t>valor Retraso</t>
        </r>
      </text>
    </comment>
    <comment ref="B103" authorId="1" shapeId="0" xr:uid="{9E818490-27F8-4BDC-B0A6-50AAB9E289B1}">
      <text>
        <r>
          <rPr>
            <sz val="9"/>
            <color indexed="81"/>
            <rFont val="Tahoma"/>
            <family val="2"/>
          </rPr>
          <t xml:space="preserve">
Se considera como Población Bajo Control a aquellos que cumplan con las sgtes. condiciones:
Registrada la atención en el </t>
        </r>
        <r>
          <rPr>
            <b/>
            <sz val="9"/>
            <color indexed="81"/>
            <rFont val="Tahoma"/>
            <family val="2"/>
          </rPr>
          <t>Módulo BOX</t>
        </r>
        <r>
          <rPr>
            <sz val="9"/>
            <color indexed="81"/>
            <rFont val="Tahoma"/>
            <family val="2"/>
          </rPr>
          <t xml:space="preserve"> - Pacientes Citados o en Agregar Documentos a una atención, en el Formulario </t>
        </r>
        <r>
          <rPr>
            <b/>
            <sz val="9"/>
            <color indexed="81"/>
            <rFont val="Tahoma"/>
            <family val="2"/>
          </rPr>
          <t>Control de Crecimiento y Desarrollo (Control Sano)</t>
        </r>
        <r>
          <rPr>
            <sz val="9"/>
            <color indexed="81"/>
            <rFont val="Tahoma"/>
            <family val="2"/>
          </rPr>
          <t xml:space="preserve">,  se registre la fecha del </t>
        </r>
        <r>
          <rPr>
            <b/>
            <sz val="9"/>
            <color indexed="81"/>
            <rFont val="Tahoma"/>
            <family val="2"/>
          </rPr>
          <t>Próximo Control</t>
        </r>
        <r>
          <rPr>
            <sz val="9"/>
            <color indexed="81"/>
            <rFont val="Tahoma"/>
            <family val="2"/>
          </rPr>
          <t xml:space="preserve">, fecha aproximada de su proxima citación al Programa.
Adicionalmente debe tener realizado el formulario </t>
        </r>
        <r>
          <rPr>
            <b/>
            <sz val="9"/>
            <color indexed="81"/>
            <rFont val="Tahoma"/>
            <family val="2"/>
          </rPr>
          <t>Test de Desarrollo Psicomotor 2-5 Años (TEPSI)</t>
        </r>
        <r>
          <rPr>
            <sz val="9"/>
            <color indexed="81"/>
            <rFont val="Tahoma"/>
            <family val="2"/>
          </rPr>
          <t xml:space="preserve"> y en el campo Resultado TEST total el valor </t>
        </r>
        <r>
          <rPr>
            <b/>
            <sz val="9"/>
            <color indexed="81"/>
            <rFont val="Tahoma"/>
            <family val="2"/>
          </rPr>
          <t>Retraso</t>
        </r>
      </text>
    </comment>
    <comment ref="B104" authorId="1" shapeId="0" xr:uid="{BF6A89D7-B123-42E3-ADA4-A1E56D790745}">
      <text>
        <r>
          <rPr>
            <sz val="9"/>
            <color indexed="81"/>
            <rFont val="Tahoma"/>
            <family val="2"/>
          </rPr>
          <t xml:space="preserve">
Se considera como Población Bajo Control a aquellos que cumplan con las sgtes. condiciones:
Registrada la atención en el</t>
        </r>
        <r>
          <rPr>
            <b/>
            <sz val="9"/>
            <color indexed="81"/>
            <rFont val="Tahoma"/>
            <family val="2"/>
          </rPr>
          <t xml:space="preserve"> Módulo BOX</t>
        </r>
        <r>
          <rPr>
            <sz val="9"/>
            <color indexed="81"/>
            <rFont val="Tahoma"/>
            <family val="2"/>
          </rPr>
          <t xml:space="preserve"> - Pacientes Citados o en Agregar Documentos a una atención, en el Formulario</t>
        </r>
        <r>
          <rPr>
            <b/>
            <sz val="9"/>
            <color indexed="81"/>
            <rFont val="Tahoma"/>
            <family val="2"/>
          </rPr>
          <t xml:space="preserve"> Control de Crecimiento y Desarrollo (Control Sano)</t>
        </r>
        <r>
          <rPr>
            <sz val="9"/>
            <color indexed="81"/>
            <rFont val="Tahoma"/>
            <family val="2"/>
          </rPr>
          <t>,  se registre la fecha del</t>
        </r>
        <r>
          <rPr>
            <b/>
            <sz val="9"/>
            <color indexed="81"/>
            <rFont val="Tahoma"/>
            <family val="2"/>
          </rPr>
          <t xml:space="preserve"> Próximo Control,</t>
        </r>
        <r>
          <rPr>
            <sz val="9"/>
            <color indexed="81"/>
            <rFont val="Tahoma"/>
            <family val="2"/>
          </rPr>
          <t xml:space="preserve"> fecha aproximada de su proxima citación al Programa.
Adicionalmente debe tener realizado el formulario </t>
        </r>
        <r>
          <rPr>
            <b/>
            <sz val="9"/>
            <color indexed="81"/>
            <rFont val="Tahoma"/>
            <family val="2"/>
          </rPr>
          <t xml:space="preserve">Test de Desarrollo Psicomotor 2-5 Años (TEPSI) </t>
        </r>
        <r>
          <rPr>
            <sz val="9"/>
            <color indexed="81"/>
            <rFont val="Tahoma"/>
            <family val="2"/>
          </rPr>
          <t xml:space="preserve">y en el campo Resultado TEST total el valor </t>
        </r>
        <r>
          <rPr>
            <b/>
            <sz val="9"/>
            <color indexed="81"/>
            <rFont val="Tahoma"/>
            <family val="2"/>
          </rPr>
          <t>Retraso</t>
        </r>
      </text>
    </comment>
    <comment ref="C106" authorId="1" shapeId="0" xr:uid="{DBDC9D0F-2C0D-448C-AB11-4D01329B76A7}">
      <text>
        <r>
          <rPr>
            <sz val="9"/>
            <color indexed="81"/>
            <rFont val="Tahoma"/>
            <family val="2"/>
          </rPr>
          <t xml:space="preserve">
Corresponde a los niños y niñas que se encuentran bajo control en establecimientos con 
nivel primario de atención, de </t>
        </r>
        <r>
          <rPr>
            <b/>
            <sz val="9"/>
            <color indexed="81"/>
            <rFont val="Tahoma"/>
            <family val="2"/>
          </rPr>
          <t xml:space="preserve">1 a 6 meses </t>
        </r>
        <r>
          <rPr>
            <sz val="9"/>
            <color indexed="81"/>
            <rFont val="Tahoma"/>
            <family val="2"/>
          </rPr>
          <t>y de</t>
        </r>
        <r>
          <rPr>
            <b/>
            <sz val="9"/>
            <color indexed="81"/>
            <rFont val="Tahoma"/>
            <family val="2"/>
          </rPr>
          <t xml:space="preserve"> 7 a 12 meses</t>
        </r>
        <r>
          <rPr>
            <sz val="9"/>
            <color indexed="81"/>
            <rFont val="Tahoma"/>
            <family val="2"/>
          </rPr>
          <t>, que ha recibido la aplicación del score 
de riesgo de morir por bronconeumonía, según norma, integrado al control de salud, obteniendo los 
siguientes resultados:</t>
        </r>
        <r>
          <rPr>
            <b/>
            <sz val="9"/>
            <color indexed="81"/>
            <rFont val="Tahoma"/>
            <family val="2"/>
          </rPr>
          <t xml:space="preserve"> riesgo leve, moderado o grave.</t>
        </r>
        <r>
          <rPr>
            <sz val="9"/>
            <color indexed="81"/>
            <rFont val="Tahoma"/>
            <family val="2"/>
          </rPr>
          <t xml:space="preserve">
*Cabe señalar que se realiza este Score de 1 a 6 meses, ya que desde los 7 en adelante es una 
aplicación tardía para la pesquisa e intervención precoz.</t>
        </r>
      </text>
    </comment>
    <comment ref="D106" authorId="1" shapeId="0" xr:uid="{FB214B30-D5AD-4845-BC34-0B6BD72137FC}">
      <text>
        <r>
          <rPr>
            <sz val="9"/>
            <color indexed="81"/>
            <rFont val="Tahoma"/>
            <family val="2"/>
          </rPr>
          <t xml:space="preserve">
Se considera como Población Bajo Control a aquellos que cumplan con las siguientes condiciones:
Registrada la atención en el Módulo BOX - Pacientes Citados o en Agregar Documentos a una atención, en el Formulario Control de Crecimiento y Desarrollo (Control Sano), se registre la fecha del Próximo Control, fecha aproximada de su proxima citación al Programa.
Adicionalmente debe tener realizado el formulario Score Riesgo IRA (Morir por neumonía) en el campo Resultado de Riesgo IRA  tenga alguno de los siguientes valores:
</t>
        </r>
        <r>
          <rPr>
            <b/>
            <sz val="9"/>
            <color indexed="81"/>
            <rFont val="Tahoma"/>
            <family val="2"/>
          </rPr>
          <t>• Riesgo Leve 
• Riesgo Moderado
• Riesgo Leve Grave</t>
        </r>
      </text>
    </comment>
    <comment ref="E106" authorId="1" shapeId="0" xr:uid="{1CEBC554-0705-40CE-A6B4-C39FDD8BBFA5}">
      <text>
        <r>
          <rPr>
            <sz val="9"/>
            <color indexed="81"/>
            <rFont val="Tahoma"/>
            <family val="2"/>
          </rPr>
          <t xml:space="preserve">
Se considera como Población Bajo Control a aquellos que cumplan con las siguientes condiciones:
Registrada la atención en el Módulo BOX - Pacientes Citados o en Agregar Documentos a una atención, en el Formulario Control de Crecimiento y Desarrollo (Control Sano), se registre la fecha del Próximo Control, fecha aproximada de su proxima citación al Programa.
Adicionalmente debe tener realizado el formulario Score Riesgo IRA (Morir por neumonía) en el campo Resultado de Riesgo IRA  tenga alguno de los siguientes valores:
</t>
        </r>
        <r>
          <rPr>
            <b/>
            <sz val="9"/>
            <color indexed="81"/>
            <rFont val="Tahoma"/>
            <family val="2"/>
          </rPr>
          <t xml:space="preserve">
• Riesgo Leve 
• Riesgo Moderado
• Riesgo Leve Grave</t>
        </r>
      </text>
    </comment>
    <comment ref="F106" authorId="4" shapeId="0" xr:uid="{D1C9C681-B5D6-46EA-988E-AA61D8168AC6}">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G106" authorId="4" shapeId="0" xr:uid="{E2DA7ED5-4731-44E2-85FD-066E2D4620D6}">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H106" authorId="4" shapeId="0" xr:uid="{7291E93F-BEFF-4CB1-B7A3-CDD395C529F6}">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I106" authorId="4" shapeId="0" xr:uid="{F7283F3C-1A5D-4509-9427-806759779C05}">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J106" authorId="4" shapeId="0" xr:uid="{FF8E3C9F-CB36-456B-9F72-DC2A9A2DD482}">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K106" authorId="4" shapeId="0" xr:uid="{879D964C-6C5E-4357-8704-FA0B01ACEDD8}">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L106" authorId="4" shapeId="0" xr:uid="{411EABCB-6A85-410E-9B67-35F28D0CDA42}">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Score Riesgo IRA (Morir por neumonía) </t>
        </r>
        <r>
          <rPr>
            <sz val="9"/>
            <color indexed="81"/>
            <rFont val="Tahoma"/>
            <family val="2"/>
          </rPr>
          <t>en el campo</t>
        </r>
        <r>
          <rPr>
            <b/>
            <sz val="9"/>
            <color indexed="81"/>
            <rFont val="Tahoma"/>
            <family val="2"/>
          </rPr>
          <t xml:space="preserve"> Resultado de Riesgo IRA</t>
        </r>
        <r>
          <rPr>
            <sz val="9"/>
            <color indexed="81"/>
            <rFont val="Tahoma"/>
            <family val="2"/>
          </rPr>
          <t xml:space="preserve">  tenga alguno de los siguientes valores:
</t>
        </r>
        <r>
          <rPr>
            <b/>
            <sz val="9"/>
            <color indexed="81"/>
            <rFont val="Tahoma"/>
            <family val="2"/>
          </rPr>
          <t xml:space="preserve">• Riesgo Moderado
• Riesgo Leve Grave
</t>
        </r>
        <r>
          <rPr>
            <sz val="9"/>
            <color indexed="81"/>
            <rFont val="Tahoma"/>
            <family val="2"/>
          </rPr>
          <t xml:space="preserve">
Además debe tener registrada alguna de las siguientes actividades:</t>
        </r>
        <r>
          <rPr>
            <b/>
            <sz val="9"/>
            <color indexed="81"/>
            <rFont val="Tahoma"/>
            <family val="2"/>
          </rPr>
          <t xml:space="preserve">
• Visita Domiciliaria Integral Familia con niño &lt; 12 meses con score de riesgo moderado de morir por neumonía (IND)
• Visita Domiciliaria Integral Familia con niño &lt; 12 meses con score de riesgo grave de morir por neumonía (IND)</t>
        </r>
        <r>
          <rPr>
            <sz val="9"/>
            <color indexed="81"/>
            <rFont val="Tahoma"/>
            <family val="2"/>
          </rPr>
          <t xml:space="preserve">
</t>
        </r>
      </text>
    </comment>
    <comment ref="M106" authorId="0" shapeId="0" xr:uid="{529823D7-27F6-4A6F-9C68-2442D93EE0CF}">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N106" authorId="3" shapeId="0" xr:uid="{5AA7C0A8-A5BB-43FD-88AC-8CD707BC5DE6}">
      <text>
        <r>
          <rPr>
            <sz val="9"/>
            <color indexed="81"/>
            <rFont val="Tahoma"/>
            <family val="2"/>
          </rPr>
          <t>Se contabilizara a los pacientes que tengan en  Antecedentes del usuario APS / Pestaña "Identificacion"  Item  Alertas Adm.</t>
        </r>
        <r>
          <rPr>
            <b/>
            <sz val="9"/>
            <color indexed="81"/>
            <rFont val="Tahoma"/>
            <family val="2"/>
          </rPr>
          <t xml:space="preserve">  "MIGRANTES"</t>
        </r>
      </text>
    </comment>
    <comment ref="C113" authorId="4" shapeId="0" xr:uid="{490D4BD9-BB89-468C-A452-0EA1A53CF845}">
      <text>
        <r>
          <rPr>
            <sz val="9"/>
            <color indexed="81"/>
            <rFont val="Tahoma"/>
            <family val="2"/>
          </rPr>
          <t>Corresponde registrar el número total de niños (as) que se encuentran bajo control y que durante el semestre recibieron la consulta nutricional del 5to mes y la consulta nutricional de los 3 años y 6 meses</t>
        </r>
      </text>
    </comment>
    <comment ref="C115" authorId="5" shapeId="0" xr:uid="{D7318B82-3BC5-47A9-AFB7-96D5DB71768D}">
      <text>
        <r>
          <rPr>
            <sz val="8"/>
            <color indexed="81"/>
            <rFont val="Tahoma"/>
            <family val="2"/>
          </rPr>
          <t>Se considera como Población Bajo Control a aquellos que cumplan con las siguientes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xml:space="preserve"> en el Formulario </t>
        </r>
        <r>
          <rPr>
            <b/>
            <sz val="8"/>
            <color indexed="81"/>
            <rFont val="Tahoma"/>
            <family val="2"/>
          </rPr>
          <t>Control de Crecimiento y Desarrollo (Control Sano),</t>
        </r>
        <r>
          <rPr>
            <sz val="8"/>
            <color indexed="81"/>
            <rFont val="Tahoma"/>
            <family val="2"/>
          </rPr>
          <t xml:space="preserve"> se registre </t>
        </r>
        <r>
          <rPr>
            <b/>
            <sz val="8"/>
            <color indexed="81"/>
            <rFont val="Tahoma"/>
            <family val="2"/>
          </rPr>
          <t>algún estado nutricional</t>
        </r>
        <r>
          <rPr>
            <sz val="8"/>
            <color indexed="81"/>
            <rFont val="Tahoma"/>
            <family val="2"/>
          </rPr>
          <t xml:space="preserve"> de los disponibles, </t>
        </r>
        <r>
          <rPr>
            <b/>
            <sz val="8"/>
            <color indexed="81"/>
            <rFont val="Tahoma"/>
            <family val="2"/>
          </rPr>
          <t>adicionalmente</t>
        </r>
        <r>
          <rPr>
            <sz val="8"/>
            <color indexed="81"/>
            <rFont val="Tahoma"/>
            <family val="2"/>
          </rPr>
          <t xml:space="preserve"> se debe registrar </t>
        </r>
        <r>
          <rPr>
            <b/>
            <sz val="8"/>
            <color indexed="81"/>
            <rFont val="Tahoma"/>
            <family val="2"/>
          </rPr>
          <t>en el semestre</t>
        </r>
        <r>
          <rPr>
            <sz val="8"/>
            <color indexed="81"/>
            <rFont val="Tahoma"/>
            <family val="2"/>
          </rPr>
          <t xml:space="preserve"> alguna de la siguientes actividades:
</t>
        </r>
        <r>
          <rPr>
            <b/>
            <sz val="8"/>
            <color indexed="81"/>
            <rFont val="Tahoma"/>
            <family val="2"/>
          </rPr>
          <t xml:space="preserve">
-Consulta Mal Nutrición por Déficit
-Consulta Mal Nutrición por Exceso
-Consulta Estado Nutricional Normal
- Consulta Mal Nutrición por Déficit - Riesgo Desnutrir/Bajo Peso 
-Consulta Mal Nutrición por Exceso - Riesgo Sobrepeso/Obesidad
 - Consulta Nutricional 
- Otras Consultas
</t>
        </r>
        <r>
          <rPr>
            <sz val="8"/>
            <color indexed="81"/>
            <rFont val="Tahoma"/>
            <family val="2"/>
          </rPr>
          <t xml:space="preserve">
Esta debe ser realizada  entre los </t>
        </r>
        <r>
          <rPr>
            <b/>
            <sz val="8"/>
            <color indexed="81"/>
            <rFont val="Tahoma"/>
            <family val="2"/>
          </rPr>
          <t xml:space="preserve"> 5 meses  hasta  5 meses con 29 días de edad del usuario</t>
        </r>
        <r>
          <rPr>
            <sz val="8"/>
            <color indexed="81"/>
            <rFont val="Tahoma"/>
            <family val="2"/>
          </rPr>
          <t xml:space="preserve">.
 </t>
        </r>
      </text>
    </comment>
    <comment ref="C116" authorId="5" shapeId="0" xr:uid="{FEFD0454-39C5-4C92-B476-D0232BFFEA8F}">
      <text>
        <r>
          <rPr>
            <sz val="8"/>
            <color indexed="81"/>
            <rFont val="Tahoma"/>
            <family val="2"/>
          </rPr>
          <t>Se considera como Población Bajo Control a aquellos que cumplan con las siguientes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en el Formulario</t>
        </r>
        <r>
          <rPr>
            <b/>
            <sz val="8"/>
            <color indexed="81"/>
            <rFont val="Tahoma"/>
            <family val="2"/>
          </rPr>
          <t xml:space="preserve"> Control de Crecimiento y Desarrollo (Control Sano),</t>
        </r>
        <r>
          <rPr>
            <sz val="8"/>
            <color indexed="81"/>
            <rFont val="Tahoma"/>
            <family val="2"/>
          </rPr>
          <t xml:space="preserve"> se registre algún estado nutricional de los disponibles, </t>
        </r>
        <r>
          <rPr>
            <b/>
            <sz val="8"/>
            <color indexed="81"/>
            <rFont val="Tahoma"/>
            <family val="2"/>
          </rPr>
          <t xml:space="preserve">adicionalmente </t>
        </r>
        <r>
          <rPr>
            <sz val="8"/>
            <color indexed="81"/>
            <rFont val="Tahoma"/>
            <family val="2"/>
          </rPr>
          <t xml:space="preserve">se debe registrar </t>
        </r>
        <r>
          <rPr>
            <b/>
            <sz val="8"/>
            <color indexed="81"/>
            <rFont val="Tahoma"/>
            <family val="2"/>
          </rPr>
          <t>en el semestre</t>
        </r>
        <r>
          <rPr>
            <sz val="8"/>
            <color indexed="81"/>
            <rFont val="Tahoma"/>
            <family val="2"/>
          </rPr>
          <t xml:space="preserve"> alguna de las siguientes actividades:
</t>
        </r>
        <r>
          <rPr>
            <b/>
            <sz val="8"/>
            <color indexed="81"/>
            <rFont val="Tahoma"/>
            <family val="2"/>
          </rPr>
          <t xml:space="preserve">
- Consulta Mal Nutrición por Déficit
- Consulta Mal Nutrición por Exceso
- Consulta Estado Nutricional Normal
- Consulta Mal Nutrición por Déficit - Riesgo Desnutrir/Bajo Peso 
- Consulta Mal Nutrición por Exceso - Riesgo Sobrepeso/Obesidad
- Consulta Nutricional - Otras Consultas</t>
        </r>
        <r>
          <rPr>
            <sz val="8"/>
            <color indexed="81"/>
            <rFont val="Tahoma"/>
            <family val="2"/>
          </rPr>
          <t xml:space="preserve">
Esta debe ser realizada  entre los  </t>
        </r>
        <r>
          <rPr>
            <b/>
            <sz val="8"/>
            <color indexed="81"/>
            <rFont val="Tahoma"/>
            <family val="2"/>
          </rPr>
          <t>3 años  6 meses  hasta 3 Años 11 meses 29 dias de edad del usuario.</t>
        </r>
      </text>
    </comment>
    <comment ref="C118" authorId="4" shapeId="0" xr:uid="{DD938735-CD0C-4309-9EA2-0C519383FEDF}">
      <text>
        <r>
          <rPr>
            <sz val="9"/>
            <color indexed="81"/>
            <rFont val="Tahoma"/>
            <family val="2"/>
          </rPr>
          <t xml:space="preserve">Corresponde a los niños(as) que no acudieron a control el día que estaban citados y que se encuentran en los plazos máximos de inasistencia según edad.
</t>
        </r>
        <r>
          <rPr>
            <b/>
            <sz val="9"/>
            <color indexed="81"/>
            <rFont val="Tahoma"/>
            <family val="2"/>
          </rPr>
          <t xml:space="preserve">
0 a 11 meses      </t>
        </r>
        <r>
          <rPr>
            <sz val="9"/>
            <color indexed="81"/>
            <rFont val="Tahoma"/>
            <family val="2"/>
          </rPr>
          <t xml:space="preserve">3 meses de inasistencia desde la última citación
</t>
        </r>
        <r>
          <rPr>
            <b/>
            <sz val="9"/>
            <color indexed="81"/>
            <rFont val="Tahoma"/>
            <family val="2"/>
          </rPr>
          <t>12 a 24 meses</t>
        </r>
        <r>
          <rPr>
            <sz val="9"/>
            <color indexed="81"/>
            <rFont val="Tahoma"/>
            <family val="2"/>
          </rPr>
          <t xml:space="preserve">    6 meses de inasistencia desde la última citación
</t>
        </r>
        <r>
          <rPr>
            <b/>
            <sz val="9"/>
            <color indexed="81"/>
            <rFont val="Tahoma"/>
            <family val="2"/>
          </rPr>
          <t>2 a 9 años</t>
        </r>
        <r>
          <rPr>
            <sz val="9"/>
            <color indexed="81"/>
            <rFont val="Tahoma"/>
            <family val="2"/>
          </rPr>
          <t xml:space="preserve">            1 año de inasistencia desde la última citación
</t>
        </r>
      </text>
    </comment>
    <comment ref="C120" authorId="5" shapeId="0" xr:uid="{E7CA0138-5FD2-4AD0-99D5-6DE19846ECE4}">
      <text>
        <r>
          <rPr>
            <sz val="9"/>
            <color indexed="81"/>
            <rFont val="Tahoma"/>
            <family val="2"/>
          </rPr>
          <t>Se considera como Población Bajo Control a aquellos que cumplan con las siguientes condiciones:
Paciente debe pertenecer al Programa y tener registrada la fecha de su proxima citación aproximada, en el Formulario</t>
        </r>
        <r>
          <rPr>
            <b/>
            <sz val="9"/>
            <color indexed="81"/>
            <rFont val="Tahoma"/>
            <family val="2"/>
          </rPr>
          <t xml:space="preserve"> Control de Crecimiento y Desarrollo (Control Sano)</t>
        </r>
        <r>
          <rPr>
            <sz val="9"/>
            <color indexed="81"/>
            <rFont val="Tahoma"/>
            <family val="2"/>
          </rPr>
          <t>, desde la</t>
        </r>
        <r>
          <rPr>
            <b/>
            <sz val="9"/>
            <color indexed="81"/>
            <rFont val="Tahoma"/>
            <family val="2"/>
          </rPr>
          <t xml:space="preserve"> fecha del proximo control</t>
        </r>
        <r>
          <rPr>
            <sz val="9"/>
            <color indexed="81"/>
            <rFont val="Tahoma"/>
            <family val="2"/>
          </rPr>
          <t xml:space="preserve">, si transcurren  </t>
        </r>
        <r>
          <rPr>
            <b/>
            <sz val="9"/>
            <color indexed="81"/>
            <rFont val="Tahoma"/>
            <family val="2"/>
          </rPr>
          <t>90 días</t>
        </r>
        <r>
          <rPr>
            <sz val="9"/>
            <color indexed="81"/>
            <rFont val="Tahoma"/>
            <family val="2"/>
          </rPr>
          <t xml:space="preserve">, el paciente quedará </t>
        </r>
        <r>
          <rPr>
            <b/>
            <sz val="9"/>
            <color indexed="81"/>
            <rFont val="Tahoma"/>
            <family val="2"/>
          </rPr>
          <t>inasistente</t>
        </r>
        <r>
          <rPr>
            <sz val="9"/>
            <color indexed="81"/>
            <rFont val="Tahoma"/>
            <family val="2"/>
          </rPr>
          <t xml:space="preserve">.
*Para actualizarlo solo se debe agregar otra fecha y nuevamente quedará en la población en control
</t>
        </r>
      </text>
    </comment>
    <comment ref="C121" authorId="5" shapeId="0" xr:uid="{923EFED6-3FF5-4AB6-9A2C-5FDA50336B2B}">
      <text>
        <r>
          <rPr>
            <sz val="9"/>
            <color indexed="81"/>
            <rFont val="Tahoma"/>
            <family val="2"/>
          </rPr>
          <t xml:space="preserve">Se considera como Población Bajo Control a aquellos que cumplan con las siguientes condiciones:
Paciente debe pertenecer al Programa y tener registrada la </t>
        </r>
        <r>
          <rPr>
            <b/>
            <sz val="9"/>
            <color indexed="81"/>
            <rFont val="Tahoma"/>
            <family val="2"/>
          </rPr>
          <t>fecha de su proxima citación aproximada</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desde la f</t>
        </r>
        <r>
          <rPr>
            <b/>
            <sz val="9"/>
            <color indexed="81"/>
            <rFont val="Tahoma"/>
            <family val="2"/>
          </rPr>
          <t>echa del proximo control</t>
        </r>
        <r>
          <rPr>
            <sz val="9"/>
            <color indexed="81"/>
            <rFont val="Tahoma"/>
            <family val="2"/>
          </rPr>
          <t xml:space="preserve">, si transcurren </t>
        </r>
        <r>
          <rPr>
            <b/>
            <sz val="9"/>
            <color indexed="81"/>
            <rFont val="Tahoma"/>
            <family val="2"/>
          </rPr>
          <t xml:space="preserve"> 180 días</t>
        </r>
        <r>
          <rPr>
            <sz val="9"/>
            <color indexed="81"/>
            <rFont val="Tahoma"/>
            <family val="2"/>
          </rPr>
          <t xml:space="preserve"> el paciente quedará</t>
        </r>
        <r>
          <rPr>
            <b/>
            <sz val="9"/>
            <color indexed="81"/>
            <rFont val="Tahoma"/>
            <family val="2"/>
          </rPr>
          <t xml:space="preserve"> inasistente</t>
        </r>
        <r>
          <rPr>
            <sz val="9"/>
            <color indexed="81"/>
            <rFont val="Tahoma"/>
            <family val="2"/>
          </rPr>
          <t>.
*Para actualizarlo solo se debe agregar otra fecha y nuevamente quedará en la población en control.</t>
        </r>
      </text>
    </comment>
    <comment ref="C122" authorId="5" shapeId="0" xr:uid="{14B292C1-0143-474D-8196-F908779B21E6}">
      <text>
        <r>
          <rPr>
            <sz val="9"/>
            <color indexed="81"/>
            <rFont val="Tahoma"/>
            <family val="2"/>
          </rPr>
          <t xml:space="preserve">Se considera como Población Bajo Control a aquellos que cumplan con las siguientes condiciones:
Paciente debe pertenecer al Programa y tener registrada la </t>
        </r>
        <r>
          <rPr>
            <b/>
            <sz val="9"/>
            <color indexed="81"/>
            <rFont val="Tahoma"/>
            <family val="2"/>
          </rPr>
          <t>fecha de su proxima citación aproximada</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desde la f</t>
        </r>
        <r>
          <rPr>
            <b/>
            <sz val="9"/>
            <color indexed="81"/>
            <rFont val="Tahoma"/>
            <family val="2"/>
          </rPr>
          <t>echa del proximo control</t>
        </r>
        <r>
          <rPr>
            <sz val="9"/>
            <color indexed="81"/>
            <rFont val="Tahoma"/>
            <family val="2"/>
          </rPr>
          <t xml:space="preserve">, si transcurren </t>
        </r>
        <r>
          <rPr>
            <b/>
            <sz val="9"/>
            <color indexed="81"/>
            <rFont val="Tahoma"/>
            <family val="2"/>
          </rPr>
          <t xml:space="preserve"> 180 días</t>
        </r>
        <r>
          <rPr>
            <sz val="9"/>
            <color indexed="81"/>
            <rFont val="Tahoma"/>
            <family val="2"/>
          </rPr>
          <t xml:space="preserve"> el paciente quedará</t>
        </r>
        <r>
          <rPr>
            <b/>
            <sz val="9"/>
            <color indexed="81"/>
            <rFont val="Tahoma"/>
            <family val="2"/>
          </rPr>
          <t xml:space="preserve"> inasistente</t>
        </r>
        <r>
          <rPr>
            <sz val="9"/>
            <color indexed="81"/>
            <rFont val="Tahoma"/>
            <family val="2"/>
          </rPr>
          <t>.
*Para actualizarlo solo se debe agregar otra fecha y nuevamente quedará en la población en control.</t>
        </r>
      </text>
    </comment>
    <comment ref="C123" authorId="5" shapeId="0" xr:uid="{D4C17891-CF9F-40A9-AF03-60D8BBA0FD63}">
      <text>
        <r>
          <rPr>
            <sz val="9"/>
            <color indexed="81"/>
            <rFont val="Tahoma"/>
            <family val="2"/>
          </rPr>
          <t>Se considera como Población Bajo Control a aquellos que cumplan con las sgtes. condiciones:
Paciente debe pertenecer al Programa y tener registrada la</t>
        </r>
        <r>
          <rPr>
            <b/>
            <sz val="9"/>
            <color indexed="81"/>
            <rFont val="Tahoma"/>
            <family val="2"/>
          </rPr>
          <t xml:space="preserve"> fecha de su proxima citación aproximada</t>
        </r>
        <r>
          <rPr>
            <sz val="9"/>
            <color indexed="81"/>
            <rFont val="Tahoma"/>
            <family val="2"/>
          </rPr>
          <t>, en el Formulario C</t>
        </r>
        <r>
          <rPr>
            <b/>
            <sz val="9"/>
            <color indexed="81"/>
            <rFont val="Tahoma"/>
            <family val="2"/>
          </rPr>
          <t>ontrol de Crecimiento y Desarrollo (Control Sano),</t>
        </r>
        <r>
          <rPr>
            <sz val="9"/>
            <color indexed="81"/>
            <rFont val="Tahoma"/>
            <family val="2"/>
          </rPr>
          <t xml:space="preserve"> desde la </t>
        </r>
        <r>
          <rPr>
            <b/>
            <sz val="9"/>
            <color indexed="81"/>
            <rFont val="Tahoma"/>
            <family val="2"/>
          </rPr>
          <t>fecha del proximo control</t>
        </r>
        <r>
          <rPr>
            <sz val="9"/>
            <color indexed="81"/>
            <rFont val="Tahoma"/>
            <family val="2"/>
          </rPr>
          <t xml:space="preserve">, si transcurren </t>
        </r>
        <r>
          <rPr>
            <b/>
            <sz val="9"/>
            <color indexed="81"/>
            <rFont val="Tahoma"/>
            <family val="2"/>
          </rPr>
          <t xml:space="preserve">13 meses 29 días </t>
        </r>
        <r>
          <rPr>
            <sz val="9"/>
            <color indexed="81"/>
            <rFont val="Tahoma"/>
            <family val="2"/>
          </rPr>
          <t xml:space="preserve">el paciente quedará </t>
        </r>
        <r>
          <rPr>
            <b/>
            <sz val="9"/>
            <color indexed="81"/>
            <rFont val="Tahoma"/>
            <family val="2"/>
          </rPr>
          <t>inasistente</t>
        </r>
        <r>
          <rPr>
            <sz val="9"/>
            <color indexed="81"/>
            <rFont val="Tahoma"/>
            <family val="2"/>
          </rPr>
          <t>.
* Para actualizarlo solo se debe agregar otra fecha y nuevamente quedará en la población en control.</t>
        </r>
      </text>
    </comment>
    <comment ref="C124" authorId="5" shapeId="0" xr:uid="{EF0EE2FA-6F5E-4EAA-9689-8B7D76B057A3}">
      <text>
        <r>
          <rPr>
            <sz val="9"/>
            <color indexed="81"/>
            <rFont val="Tahoma"/>
            <family val="2"/>
          </rPr>
          <t>Se considera como Población Bajo Control a aquellos que cumplan con las sgtes. condiciones:
Paciente debe pertenecer al Programa y tener registrada la</t>
        </r>
        <r>
          <rPr>
            <b/>
            <sz val="9"/>
            <color indexed="81"/>
            <rFont val="Tahoma"/>
            <family val="2"/>
          </rPr>
          <t xml:space="preserve"> fecha de su proxima citación aproximada</t>
        </r>
        <r>
          <rPr>
            <sz val="9"/>
            <color indexed="81"/>
            <rFont val="Tahoma"/>
            <family val="2"/>
          </rPr>
          <t>, en el Formulario C</t>
        </r>
        <r>
          <rPr>
            <b/>
            <sz val="9"/>
            <color indexed="81"/>
            <rFont val="Tahoma"/>
            <family val="2"/>
          </rPr>
          <t>ontrol de Crecimiento y Desarrollo (Control Sano),</t>
        </r>
        <r>
          <rPr>
            <sz val="9"/>
            <color indexed="81"/>
            <rFont val="Tahoma"/>
            <family val="2"/>
          </rPr>
          <t xml:space="preserve">  desde la </t>
        </r>
        <r>
          <rPr>
            <b/>
            <sz val="9"/>
            <color indexed="81"/>
            <rFont val="Tahoma"/>
            <family val="2"/>
          </rPr>
          <t>fecha del proximo control</t>
        </r>
        <r>
          <rPr>
            <sz val="9"/>
            <color indexed="81"/>
            <rFont val="Tahoma"/>
            <family val="2"/>
          </rPr>
          <t xml:space="preserve">, si transcurren </t>
        </r>
        <r>
          <rPr>
            <b/>
            <sz val="9"/>
            <color indexed="81"/>
            <rFont val="Tahoma"/>
            <family val="2"/>
          </rPr>
          <t xml:space="preserve">18 meses 29 días </t>
        </r>
        <r>
          <rPr>
            <sz val="9"/>
            <color indexed="81"/>
            <rFont val="Tahoma"/>
            <family val="2"/>
          </rPr>
          <t xml:space="preserve">el paciente quedará </t>
        </r>
        <r>
          <rPr>
            <b/>
            <sz val="9"/>
            <color indexed="81"/>
            <rFont val="Tahoma"/>
            <family val="2"/>
          </rPr>
          <t>inasistente</t>
        </r>
        <r>
          <rPr>
            <sz val="9"/>
            <color indexed="81"/>
            <rFont val="Tahoma"/>
            <family val="2"/>
          </rPr>
          <t>.
* Para actualizarlo solo se debe agregar otra fecha y nuevamente quedará en la población en control.</t>
        </r>
      </text>
    </comment>
    <comment ref="C127" authorId="4" shapeId="0" xr:uid="{15321A25-41D9-4BD4-806C-74BE27A059D6}">
      <text>
        <r>
          <rPr>
            <sz val="9"/>
            <color indexed="81"/>
            <rFont val="Tahoma"/>
            <family val="2"/>
          </rPr>
          <t>Corresponde registrar el número de niños(as) que se encuentran bajo control según el resultado de medición de presión arterial</t>
        </r>
      </text>
    </comment>
    <comment ref="L127" authorId="6" shapeId="0" xr:uid="{FC014875-4FAD-4962-B113-D79637683B7D}">
      <text>
        <r>
          <rPr>
            <b/>
            <sz val="9"/>
            <color indexed="81"/>
            <rFont val="Tahoma"/>
            <family val="2"/>
          </rPr>
          <t>NO DISPONIBLE</t>
        </r>
        <r>
          <rPr>
            <sz val="9"/>
            <color indexed="81"/>
            <rFont val="Tahoma"/>
            <family val="2"/>
          </rPr>
          <t xml:space="preserve">
</t>
        </r>
      </text>
    </comment>
    <comment ref="A130" authorId="7" shapeId="0" xr:uid="{01F9E2CD-91DC-4ACB-A77A-CF93D9D3E136}">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Presión Arterial (mmHg)</t>
        </r>
        <r>
          <rPr>
            <sz val="9"/>
            <color indexed="81"/>
            <rFont val="Tahoma"/>
            <family val="2"/>
          </rPr>
          <t xml:space="preserve"> algún valor y que en el campo</t>
        </r>
        <r>
          <rPr>
            <b/>
            <sz val="9"/>
            <color indexed="81"/>
            <rFont val="Tahoma"/>
            <family val="2"/>
          </rPr>
          <t xml:space="preserve"> Clasificación de Presión Arterial de acuerdo al Percentil</t>
        </r>
        <r>
          <rPr>
            <sz val="9"/>
            <color indexed="81"/>
            <rFont val="Tahoma"/>
            <family val="2"/>
          </rPr>
          <t xml:space="preserve"> se registre el valor</t>
        </r>
        <r>
          <rPr>
            <b/>
            <sz val="9"/>
            <color indexed="81"/>
            <rFont val="Tahoma"/>
            <family val="2"/>
          </rPr>
          <t xml:space="preserve"> Normal (PA menor al percentil 90)
</t>
        </r>
      </text>
    </comment>
    <comment ref="A131" authorId="7" shapeId="0" xr:uid="{FDCB16CA-3DB2-4F39-B8D1-36F2824CB8BB}">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Presión Arterial (mmHg)</t>
        </r>
        <r>
          <rPr>
            <sz val="9"/>
            <color indexed="81"/>
            <rFont val="Tahoma"/>
            <family val="2"/>
          </rPr>
          <t xml:space="preserve"> algún valor y que en el campo</t>
        </r>
        <r>
          <rPr>
            <b/>
            <sz val="9"/>
            <color indexed="81"/>
            <rFont val="Tahoma"/>
            <family val="2"/>
          </rPr>
          <t xml:space="preserve"> Clasificación de Presión Arterial de acuerdo al Percentil</t>
        </r>
        <r>
          <rPr>
            <sz val="9"/>
            <color indexed="81"/>
            <rFont val="Tahoma"/>
            <family val="2"/>
          </rPr>
          <t xml:space="preserve"> se registre el valor </t>
        </r>
        <r>
          <rPr>
            <b/>
            <sz val="9"/>
            <color indexed="81"/>
            <rFont val="Tahoma"/>
            <family val="2"/>
          </rPr>
          <t>PRE-HIPERTENSIÓN (PA entre percentil 90 al 95)</t>
        </r>
      </text>
    </comment>
    <comment ref="A132" authorId="7" shapeId="0" xr:uid="{69314A12-A43E-4950-B111-091B3AA17FE6}">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se registre en el campo</t>
        </r>
        <r>
          <rPr>
            <b/>
            <sz val="9"/>
            <color indexed="81"/>
            <rFont val="Tahoma"/>
            <family val="2"/>
          </rPr>
          <t xml:space="preserve"> Presión Arterial (mmHg) </t>
        </r>
        <r>
          <rPr>
            <sz val="9"/>
            <color indexed="81"/>
            <rFont val="Tahoma"/>
            <family val="2"/>
          </rPr>
          <t xml:space="preserve">algún valor y que en el campo </t>
        </r>
        <r>
          <rPr>
            <b/>
            <sz val="9"/>
            <color indexed="81"/>
            <rFont val="Tahoma"/>
            <family val="2"/>
          </rPr>
          <t xml:space="preserve">Clasificación de Presión Arterial de acuerdo al Percentil </t>
        </r>
        <r>
          <rPr>
            <sz val="9"/>
            <color indexed="81"/>
            <rFont val="Tahoma"/>
            <family val="2"/>
          </rPr>
          <t>se registre el valor</t>
        </r>
        <r>
          <rPr>
            <b/>
            <sz val="9"/>
            <color indexed="81"/>
            <rFont val="Tahoma"/>
            <family val="2"/>
          </rPr>
          <t xml:space="preserve"> ETAPA 1 (PA entre percentil 95 al 99)</t>
        </r>
      </text>
    </comment>
    <comment ref="A133" authorId="7" shapeId="0" xr:uid="{B1AB29E4-DC51-490A-AD30-0BC9B059E01D}">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se registre en el campo</t>
        </r>
        <r>
          <rPr>
            <b/>
            <sz val="9"/>
            <color indexed="81"/>
            <rFont val="Tahoma"/>
            <family val="2"/>
          </rPr>
          <t xml:space="preserve"> Presión Arterial (mmHg) </t>
        </r>
        <r>
          <rPr>
            <sz val="9"/>
            <color indexed="81"/>
            <rFont val="Tahoma"/>
            <family val="2"/>
          </rPr>
          <t>algún valor y que en el campo</t>
        </r>
        <r>
          <rPr>
            <b/>
            <sz val="9"/>
            <color indexed="81"/>
            <rFont val="Tahoma"/>
            <family val="2"/>
          </rPr>
          <t xml:space="preserve"> Clasificación de Presión Arterial de acuerdo al Percentil </t>
        </r>
        <r>
          <rPr>
            <sz val="9"/>
            <color indexed="81"/>
            <rFont val="Tahoma"/>
            <family val="2"/>
          </rPr>
          <t>se registre el valor</t>
        </r>
        <r>
          <rPr>
            <b/>
            <sz val="9"/>
            <color indexed="81"/>
            <rFont val="Tahoma"/>
            <family val="2"/>
          </rPr>
          <t xml:space="preserve"> ETAPA 2 (PA mayor al percentil 99)</t>
        </r>
      </text>
    </comment>
    <comment ref="C136" authorId="4" shapeId="0" xr:uid="{162DB019-26DE-4180-8BAE-B1EE40A41DF9}">
      <text>
        <r>
          <rPr>
            <sz val="9"/>
            <color indexed="81"/>
            <rFont val="Tahoma"/>
            <family val="2"/>
          </rPr>
          <t>Corresponde al número de niños(as) eutróficos que se encuentran bajo
control y que han sido clasificados con o sin riesgo de malnutrición por exceso.</t>
        </r>
      </text>
    </comment>
    <comment ref="D137" authorId="5" shapeId="0" xr:uid="{39621193-6137-41C6-8B2F-F0FC15AFF515}">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E137" authorId="5" shapeId="0" xr:uid="{260882FE-014A-4474-9F4C-B4600E4EA178}">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F137" authorId="5" shapeId="0" xr:uid="{445C8EDB-C3BF-474C-B301-50F1D5EE0EAF}">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G137" authorId="5" shapeId="0" xr:uid="{5FBC348F-EE80-436B-AAF1-C6E617400F94}">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H137" authorId="5" shapeId="0" xr:uid="{11F634EC-B9FD-412E-90EA-B8EF53B79B17}">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I137" authorId="5" shapeId="0" xr:uid="{7DF339D4-E6C6-48C8-95BC-C85966A400AF}">
      <text>
        <r>
          <rPr>
            <sz val="9"/>
            <color indexed="81"/>
            <rFont val="Tahoma"/>
            <family val="2"/>
          </rPr>
          <t>Se considera como Población Bajo Control a aquellos que cumplan con las siguientes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t>
        </r>
        <r>
          <rPr>
            <b/>
            <sz val="9"/>
            <color indexed="81"/>
            <rFont val="Tahoma"/>
            <family val="2"/>
          </rPr>
          <t>fecha del Próximo Control,</t>
        </r>
        <r>
          <rPr>
            <sz val="9"/>
            <color indexed="81"/>
            <rFont val="Tahoma"/>
            <family val="2"/>
          </rPr>
          <t xml:space="preserve"> fecha aproximada de su proxima citación al Programa,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Pauta de Factores Condicionantes de Riesgo de Malnutrición por Exceso</t>
        </r>
        <r>
          <rPr>
            <sz val="9"/>
            <color indexed="81"/>
            <rFont val="Tahoma"/>
            <family val="2"/>
          </rPr>
          <t xml:space="preserve"> y en el campo  </t>
        </r>
        <r>
          <rPr>
            <b/>
            <sz val="9"/>
            <color indexed="81"/>
            <rFont val="Tahoma"/>
            <family val="2"/>
          </rPr>
          <t>Resultado FRME</t>
        </r>
        <r>
          <rPr>
            <sz val="9"/>
            <color indexed="81"/>
            <rFont val="Tahoma"/>
            <family val="2"/>
          </rPr>
          <t xml:space="preserve"> tenga alguno de los siguientes valores:
</t>
        </r>
        <r>
          <rPr>
            <b/>
            <sz val="9"/>
            <color indexed="81"/>
            <rFont val="Tahoma"/>
            <family val="2"/>
          </rPr>
          <t>• Sin Riesgo</t>
        </r>
        <r>
          <rPr>
            <sz val="9"/>
            <color indexed="81"/>
            <rFont val="Tahoma"/>
            <family val="2"/>
          </rPr>
          <t xml:space="preserve">
</t>
        </r>
        <r>
          <rPr>
            <b/>
            <sz val="9"/>
            <color indexed="81"/>
            <rFont val="Tahoma"/>
            <family val="2"/>
          </rPr>
          <t xml:space="preserve">• Con Riesgo
</t>
        </r>
        <r>
          <rPr>
            <sz val="8"/>
            <color indexed="81"/>
            <rFont val="Tahoma"/>
            <family val="2"/>
          </rPr>
          <t xml:space="preserve">
</t>
        </r>
      </text>
    </comment>
    <comment ref="AR142" authorId="0" shapeId="0" xr:uid="{734F27AC-6184-4168-AF8E-C86668029E71}">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T142" authorId="0" shapeId="0" xr:uid="{528902DD-8D13-4D70-8B7E-95A4AF3B6604}">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145" authorId="6" shapeId="0" xr:uid="{BE28CD70-8466-49E0-927B-25ACEF629A71}">
      <text>
        <r>
          <rPr>
            <sz val="9"/>
            <color indexed="81"/>
            <rFont val="Tahoma"/>
            <family val="2"/>
          </rPr>
          <t xml:space="preserve">Corresponde a la población infantil y adolescente, desde los </t>
        </r>
        <r>
          <rPr>
            <b/>
            <sz val="9"/>
            <color indexed="81"/>
            <rFont val="Tahoma"/>
            <family val="2"/>
          </rPr>
          <t>0 meses hasta los 19 años</t>
        </r>
        <r>
          <rPr>
            <sz val="9"/>
            <color indexed="81"/>
            <rFont val="Tahoma"/>
            <family val="2"/>
          </rPr>
          <t xml:space="preserve">, que se encuentran asistentes a sus controles de salud integral en el 
Programa Nacional de Salud de la Infancia y en el Programa Nacional de Salud Integral de 
Adolescentes y Jóvenes del establecimiento de salud a la fecha de corte, hasta un plazo máximo de 
inasistencia para cada rango etario establecido (en la sección E de Inasistentes), independiente de la 
realización de la evaluación del estado nutricional asociada al control de salud. Por lo que están 
incluidos en la Sección A y A.1.
</t>
        </r>
      </text>
    </comment>
    <comment ref="A146" authorId="4" shapeId="0" xr:uid="{7FB5FA2C-7751-45AB-B3E8-39D686AE2B9A}">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Síndrome de Down</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7" authorId="4" shapeId="0" xr:uid="{4CE3DFDF-AB19-45EA-8B86-E2D3D771614B}">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Trastorno de Espectro Autista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8" authorId="4" shapeId="0" xr:uid="{0D5C602C-9BBF-4C8E-9D33-74F3B8D0072E}">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Síndrome de Rett</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9" authorId="4" shapeId="0" xr:uid="{CBC899CB-6FB7-43CD-818D-9E1050D09AD6}">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Parálisis Cerebral</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0" authorId="4" shapeId="0" xr:uid="{055065F9-C721-4146-89AA-42615684FF0E}">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Epilepsia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1" authorId="4" shapeId="0" xr:uid="{5C30FBA3-5F70-4943-9F13-818AB1BAE23A}">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Otros trastornos del Neurodesarrollo (no incluye TEA)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2" authorId="4" shapeId="0" xr:uid="{A8353360-1C65-4320-A76B-8C4C711F6D2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Hipertensión Arterial</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3" authorId="4" shapeId="0" xr:uid="{C18B6E46-9601-4B65-8492-6689044061A9}">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 renal crónica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4" authorId="4" shapeId="0" xr:uid="{3FB84E92-430D-422A-B444-731132CBE1E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Otras Enfermedades cardiovasculares crónicas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5" authorId="4" shapeId="0" xr:uid="{B171D438-8727-45FC-8552-B772A6DCAB5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gastrointestinales crónicas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6" authorId="4" shapeId="0" xr:uid="{BA7F049E-868D-4EE9-A56A-C3FE4A3653A4}">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crónicas del sistema visual</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7" authorId="4" shapeId="0" xr:uid="{32BBC9F7-3A33-479A-85DE-B027436DE695}">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crónicas del oído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8" authorId="4" shapeId="0" xr:uid="{ED9814B7-8DBB-42A2-95F5-171FCA65A4CE}">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crónicas de piel y mucosas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59" authorId="4" shapeId="0" xr:uid="{6C702AF3-67B7-4469-A219-F49F59017D42}">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Neoplasias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0" authorId="4" shapeId="0" xr:uid="{C3923387-1F43-42F6-B59B-290C9FDB8ABC}">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Malformaciones congénitas y deformidades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1" authorId="4" shapeId="0" xr:uid="{C6CE43C6-7B08-4B78-A6D4-502679B165EB}">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Trastornos genéticos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2" authorId="4" shapeId="0" xr:uid="{FCA20542-8BE7-4E81-8762-FB3B7DA86D65}">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Prematuros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3" authorId="4" shapeId="0" xr:uid="{2A37CABB-8FB0-49FA-9167-0C2A8676CE0D}">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Enfermedades hematológicas crónicas.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4" authorId="4" shapeId="0" xr:uid="{EC61117E-3AB4-4418-987A-E198B32B2A64}">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Enfermedades musculoesqueléticas crónicas.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5" authorId="4" shapeId="0" xr:uid="{6B84B3E3-8E76-4966-B60A-0783255462B0}">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del sistema inmunitario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6" authorId="4" shapeId="0" xr:uid="{850A8802-B2B2-41B4-B489-32D8ACA73716}">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Alergias alimentarias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7" authorId="4" shapeId="0" xr:uid="{A925379F-DCF1-49F5-B522-F06F654E0B35}">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Otras Enfermedades endocrinológicas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8" authorId="4" shapeId="0" xr:uid="{E8CACF1F-022C-4C82-ACA8-B216CFC28FF2}">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Hipotiroidismo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69" authorId="4" shapeId="0" xr:uid="{BDB19B62-4BD5-4B32-8AA4-952A33CCBC68}">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Diabetes tipo I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0" authorId="4" shapeId="0" xr:uid="{7575697E-FC48-405B-A25D-183F1B3FAEB1}">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Diabetes tipo II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1" authorId="4" shapeId="0" xr:uid="{FCED0F65-2F02-40C9-B655-731FE9387F4B}">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Otros Trastornos del metabolismo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2" authorId="4" shapeId="0" xr:uid="{3EC46E1F-F742-4A2C-B5E9-D6EA6C99E7D8}">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Otras Enfermedades respiratorias crónicas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3" authorId="4" shapeId="0" xr:uid="{40463CA7-0665-4998-AF4F-72002DEBCEB4}">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Fibrosis Quística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4" authorId="4" shapeId="0" xr:uid="{5040FB3A-A426-4F68-886B-19BEDD874FB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Otras condiciones asociadas a NANEAS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5" authorId="4" shapeId="0" xr:uid="{4DE9814A-4420-411A-85E1-307C3C5EE5E9}">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Hospitalización Domiciliaria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6" authorId="4" shapeId="0" xr:uid="{E6A2FC9A-45B1-4A0C-B6B8-8405CF3F94DF}">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Oxigenoterapia Ambulatoria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7" authorId="4" shapeId="0" xr:uid="{6F03427E-CE07-4574-BECB-FAFF797E37D9}">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Asistencia ventilatoria Invasiva y No invasiva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8" authorId="4" shapeId="0" xr:uid="{94ADCEBC-0BEA-4C6D-8298-6DAA9A261DFC}">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Errores Innatos del Metabolismo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79" authorId="4" shapeId="0" xr:uid="{19DC0589-A25C-40D1-B38C-220BE4567776}">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Asma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0" authorId="4" shapeId="0" xr:uid="{D13E931F-70ED-4BBD-8290-250E41DBF14F}">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Cardiopatía congénita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1" authorId="4" shapeId="0" xr:uid="{5F459874-24DC-4531-99DF-4DF8A8B35960}">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Enfermedad celiaca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2" authorId="4" shapeId="0" xr:uid="{441B492F-62C7-442E-8A94-2ACB63551F89}">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Estrabismo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3" authorId="4" shapeId="0" xr:uid="{FB19E234-C727-4BC7-8516-DE87D0680B2D}">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Errores de refracción</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4" authorId="4" shapeId="0" xr:uid="{F0BFDA7D-1B2F-45E2-B629-A6B381E84568}">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Otras Enfermedades crónicas neurológicas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5" authorId="4" shapeId="0" xr:uid="{DBA56D74-B62F-4F63-A048-C2C4B5C156E0}">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Disrrafias espinales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6" authorId="4" shapeId="0" xr:uid="{10857800-0144-4D62-8CEA-8E7219E573E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Escoliosis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7" authorId="4" shapeId="0" xr:uid="{DC8FDBF9-C51A-4CC3-BD3E-5519B73267A2}">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Displasia luxante de caderas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8" authorId="4" shapeId="0" xr:uid="{F6B191C4-5325-4AFD-A2D4-4B23D99EB574}">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Cuidados paliativos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89" authorId="4" shapeId="0" xr:uid="{19878DA1-90BC-4589-B27F-12940596B564}">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Gran Quemado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R191" authorId="0" shapeId="0" xr:uid="{75670E0F-FBA3-4BA4-AEE0-70F4BEBD860B}">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T191" authorId="0" shapeId="0" xr:uid="{D513BE89-E181-475D-955D-4B8AD3A59DD6}">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194" authorId="6" shapeId="0" xr:uid="{DF23F8DF-5A3B-4CE9-B9EC-332A912557CA}">
      <text>
        <r>
          <rPr>
            <sz val="9"/>
            <color indexed="81"/>
            <rFont val="Tahoma"/>
            <family val="2"/>
          </rPr>
          <t xml:space="preserve">Total de Población en control según nivel de complejidad de Niños, Niñas y Adolescentes con necesidades especiales de atención en salud (NANEAS)
</t>
        </r>
      </text>
    </comment>
    <comment ref="A195" authorId="4" shapeId="0" xr:uid="{32D57EA4-9EF0-4BE2-BF64-F562549A9390}">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en el campo </t>
        </r>
        <r>
          <rPr>
            <b/>
            <sz val="9"/>
            <color indexed="81"/>
            <rFont val="Tahoma"/>
            <family val="2"/>
          </rPr>
          <t>Diagnóstico según Naneas</t>
        </r>
        <r>
          <rPr>
            <sz val="9"/>
            <color indexed="81"/>
            <rFont val="Tahoma"/>
            <family val="2"/>
          </rPr>
          <t xml:space="preserve"> tenga seleccionado algun valor y en el campo </t>
        </r>
        <r>
          <rPr>
            <b/>
            <sz val="9"/>
            <color indexed="81"/>
            <rFont val="Tahoma"/>
            <family val="2"/>
          </rPr>
          <t>Niveles de complejidad</t>
        </r>
        <r>
          <rPr>
            <sz val="9"/>
            <color indexed="81"/>
            <rFont val="Tahoma"/>
            <family val="2"/>
          </rPr>
          <t xml:space="preserve"> se registre el valor </t>
        </r>
        <r>
          <rPr>
            <b/>
            <sz val="9"/>
            <color indexed="81"/>
            <rFont val="Tahoma"/>
            <family val="2"/>
          </rPr>
          <t>Alta Complejidad</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96" authorId="4" shapeId="0" xr:uid="{25235578-C637-47F6-A240-8E8ECFC330DD}">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en el campo </t>
        </r>
        <r>
          <rPr>
            <b/>
            <sz val="9"/>
            <color indexed="81"/>
            <rFont val="Tahoma"/>
            <family val="2"/>
          </rPr>
          <t>Diagnóstico según Naneas</t>
        </r>
        <r>
          <rPr>
            <sz val="9"/>
            <color indexed="81"/>
            <rFont val="Tahoma"/>
            <family val="2"/>
          </rPr>
          <t xml:space="preserve"> tenga seleccionado algun valor y en el campo </t>
        </r>
        <r>
          <rPr>
            <b/>
            <sz val="9"/>
            <color indexed="81"/>
            <rFont val="Tahoma"/>
            <family val="2"/>
          </rPr>
          <t>Niveles de complejidad</t>
        </r>
        <r>
          <rPr>
            <sz val="9"/>
            <color indexed="81"/>
            <rFont val="Tahoma"/>
            <family val="2"/>
          </rPr>
          <t xml:space="preserve"> se registre el valor </t>
        </r>
        <r>
          <rPr>
            <b/>
            <sz val="9"/>
            <color indexed="81"/>
            <rFont val="Tahoma"/>
            <family val="2"/>
          </rPr>
          <t>Mediana Complejidad</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97" authorId="4" shapeId="0" xr:uid="{6900192A-09D2-4AB3-BB55-81CACA5221CF}">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en el campo </t>
        </r>
        <r>
          <rPr>
            <b/>
            <sz val="9"/>
            <color indexed="81"/>
            <rFont val="Tahoma"/>
            <family val="2"/>
          </rPr>
          <t>Diagnóstico según Naneas</t>
        </r>
        <r>
          <rPr>
            <sz val="9"/>
            <color indexed="81"/>
            <rFont val="Tahoma"/>
            <family val="2"/>
          </rPr>
          <t xml:space="preserve"> tenga seleccionado algun valor y en el campo </t>
        </r>
        <r>
          <rPr>
            <b/>
            <sz val="9"/>
            <color indexed="81"/>
            <rFont val="Tahoma"/>
            <family val="2"/>
          </rPr>
          <t>Niveles de complejidad</t>
        </r>
        <r>
          <rPr>
            <sz val="9"/>
            <color indexed="81"/>
            <rFont val="Tahoma"/>
            <family val="2"/>
          </rPr>
          <t xml:space="preserve"> se registre el valor </t>
        </r>
        <r>
          <rPr>
            <b/>
            <sz val="9"/>
            <color indexed="81"/>
            <rFont val="Tahoma"/>
            <family val="2"/>
          </rPr>
          <t>Baja Complejidad</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Z199" authorId="0" shapeId="0" xr:uid="{1B536B23-7B9F-40D2-81BC-A4C235BFC635}">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B199" authorId="0" shapeId="0" xr:uid="{F4866009-203E-4CF9-BB7B-1C0DA0078798}">
      <text>
        <r>
          <rPr>
            <sz val="9"/>
            <color indexed="81"/>
            <rFont val="Tahoma"/>
            <family val="2"/>
          </rPr>
          <t xml:space="preserve">Contabiliza los usuarios en control que en el módulo </t>
        </r>
        <r>
          <rPr>
            <b/>
            <sz val="9"/>
            <color indexed="81"/>
            <rFont val="Tahoma"/>
            <family val="2"/>
          </rPr>
          <t>Admisión - Inscripción o Box</t>
        </r>
        <r>
          <rPr>
            <sz val="9"/>
            <color indexed="81"/>
            <rFont val="Tahoma"/>
            <family val="2"/>
          </rPr>
          <t xml:space="preserve"> indique algún pueblo originario.</t>
        </r>
      </text>
    </comment>
    <comment ref="AD199" authorId="8" shapeId="0" xr:uid="{089C7634-82A1-4C4D-9B7B-C99BAA6DB38F}">
      <text>
        <r>
          <rPr>
            <sz val="9"/>
            <color indexed="81"/>
            <rFont val="Tahoma"/>
            <family val="2"/>
          </rPr>
          <t xml:space="preserve">Contabilizará pacientes con Discapacidad registrada desde el Módulo </t>
        </r>
        <r>
          <rPr>
            <b/>
            <sz val="9"/>
            <color indexed="81"/>
            <rFont val="Tahoma"/>
            <family val="2"/>
          </rPr>
          <t>Admisión - Inscripción o BOX</t>
        </r>
        <r>
          <rPr>
            <sz val="9"/>
            <color indexed="81"/>
            <rFont val="Tahoma"/>
            <family val="2"/>
          </rPr>
          <t>.</t>
        </r>
      </text>
    </comment>
    <comment ref="AF199" authorId="2" shapeId="0" xr:uid="{7068B9C3-0E84-4EFF-A788-873B16B9C18A}">
      <text>
        <r>
          <rPr>
            <sz val="9"/>
            <color indexed="81"/>
            <rFont val="Tahoma"/>
            <family val="2"/>
          </rPr>
          <t>Se contabilizará a los usuarios que tengan registrado desde</t>
        </r>
        <r>
          <rPr>
            <b/>
            <sz val="9"/>
            <color indexed="81"/>
            <rFont val="Tahoma"/>
            <family val="2"/>
          </rPr>
          <t xml:space="preserve"> BOX o Inscripción</t>
        </r>
        <r>
          <rPr>
            <sz val="9"/>
            <color indexed="81"/>
            <rFont val="Tahoma"/>
            <family val="2"/>
          </rPr>
          <t xml:space="preserve"> alguna de las siguientes</t>
        </r>
        <r>
          <rPr>
            <b/>
            <sz val="9"/>
            <color indexed="81"/>
            <rFont val="Tahoma"/>
            <family val="2"/>
          </rPr>
          <t xml:space="preserve"> alertas administrativas:
Programa SENAME - Ambulatorios
o
Programa SENAME - CIP/CRC</t>
        </r>
      </text>
    </comment>
    <comment ref="A202" authorId="6" shapeId="0" xr:uid="{55BC763F-1DBF-4092-9322-64184E95BB5C}">
      <text>
        <r>
          <rPr>
            <sz val="9"/>
            <color indexed="81"/>
            <rFont val="Tahoma"/>
            <family val="2"/>
          </rPr>
          <t xml:space="preserve"> Corresponde a los niños y niñas menores 10 años que se encuentran bajo control odontológico en establecimientos del nivel primario de atención, que han sido evaluados según riesgo odontológico y daño por caries y que reciben medidas de prevención generales y específicas según su riesgo individual, de acuerdo a orientación técnica y norma vigente.
Se considera el total de Formularios "</t>
        </r>
        <r>
          <rPr>
            <b/>
            <sz val="9"/>
            <color indexed="81"/>
            <rFont val="Tahoma"/>
            <family val="2"/>
          </rPr>
          <t>Población en Control con Enfoque de Riesgo Odontológico (Cero)</t>
        </r>
        <r>
          <rPr>
            <sz val="9"/>
            <color indexed="81"/>
            <rFont val="Tahoma"/>
            <family val="2"/>
          </rPr>
          <t xml:space="preserve">" aplicados con campos requeridos.
</t>
        </r>
      </text>
    </comment>
    <comment ref="B203" authorId="6" shapeId="0" xr:uid="{1ED8E9EA-22E9-4D67-9902-C45BB1DC4E47}">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 xml:space="preserve">"Población en Control con Enfoque de Riesgo Odontológico (Cero)" </t>
        </r>
        <r>
          <rPr>
            <sz val="9"/>
            <color indexed="81"/>
            <rFont val="Tahoma"/>
            <family val="2"/>
          </rPr>
          <t>desde los 0 días, hasta los 9 años 11 meses y 29 días.</t>
        </r>
        <r>
          <rPr>
            <b/>
            <sz val="9"/>
            <color indexed="81"/>
            <rFont val="Tahoma"/>
            <family val="2"/>
          </rPr>
          <t xml:space="preserve"> 
</t>
        </r>
        <r>
          <rPr>
            <sz val="9"/>
            <color indexed="81"/>
            <rFont val="Tahoma"/>
            <family val="2"/>
          </rPr>
          <t>Se debe registrar en el campo</t>
        </r>
        <r>
          <rPr>
            <b/>
            <sz val="9"/>
            <color indexed="81"/>
            <rFont val="Tahoma"/>
            <family val="2"/>
          </rPr>
          <t xml:space="preserve"> "Resultado Evaluacion de Riesgo" </t>
        </r>
        <r>
          <rPr>
            <sz val="9"/>
            <color indexed="81"/>
            <rFont val="Tahoma"/>
            <family val="2"/>
          </rPr>
          <t>el valor</t>
        </r>
        <r>
          <rPr>
            <b/>
            <sz val="9"/>
            <color indexed="81"/>
            <rFont val="Tahoma"/>
            <family val="2"/>
          </rPr>
          <t xml:space="preserve"> "Alto Riesgo"</t>
        </r>
        <r>
          <rPr>
            <sz val="9"/>
            <color indexed="81"/>
            <rFont val="Tahoma"/>
            <family val="2"/>
          </rPr>
          <t>, y en el campo</t>
        </r>
        <r>
          <rPr>
            <b/>
            <sz val="9"/>
            <color indexed="81"/>
            <rFont val="Tahoma"/>
            <family val="2"/>
          </rPr>
          <t xml:space="preserve"> Estado del Control </t>
        </r>
        <r>
          <rPr>
            <sz val="9"/>
            <color indexed="81"/>
            <rFont val="Tahoma"/>
            <family val="2"/>
          </rPr>
          <t>debe tener algun valor</t>
        </r>
        <r>
          <rPr>
            <b/>
            <sz val="9"/>
            <color indexed="81"/>
            <rFont val="Tahoma"/>
            <family val="2"/>
          </rPr>
          <t xml:space="preserve"> Ingreso </t>
        </r>
        <r>
          <rPr>
            <sz val="9"/>
            <color indexed="81"/>
            <rFont val="Tahoma"/>
            <family val="2"/>
          </rPr>
          <t>o</t>
        </r>
        <r>
          <rPr>
            <b/>
            <sz val="9"/>
            <color indexed="81"/>
            <rFont val="Tahoma"/>
            <family val="2"/>
          </rPr>
          <t xml:space="preserve"> Primer control del año.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r>
          <rPr>
            <sz val="9"/>
            <color indexed="81"/>
            <rFont val="Tahoma"/>
            <family val="2"/>
          </rPr>
          <t>.</t>
        </r>
      </text>
    </comment>
    <comment ref="B204" authorId="6" shapeId="0" xr:uid="{D4384F22-A24B-4A7B-8AC7-D36F51206C48}">
      <text>
        <r>
          <rPr>
            <sz val="9"/>
            <color indexed="81"/>
            <rFont val="Tahoma"/>
            <family val="2"/>
          </rPr>
          <t xml:space="preserve">Se considera como Población Bajo Control a aquellos que cumplan con las siguientes condiciones:
Registrada la atención en el Módulo BOX - Pacientes Citados o en Agregar Documentos a una atención, en el Formulario </t>
        </r>
        <r>
          <rPr>
            <b/>
            <sz val="9"/>
            <color indexed="81"/>
            <rFont val="Tahoma"/>
            <family val="2"/>
          </rPr>
          <t xml:space="preserve">"Población en Control con Enfoque de Riesgo Odontológico (Cero)" </t>
        </r>
        <r>
          <rPr>
            <sz val="9"/>
            <color indexed="81"/>
            <rFont val="Tahoma"/>
            <family val="2"/>
          </rPr>
          <t>desde los 0 días, hasta los 9 años 11 meses y 29 días.</t>
        </r>
        <r>
          <rPr>
            <b/>
            <sz val="9"/>
            <color indexed="81"/>
            <rFont val="Tahoma"/>
            <family val="2"/>
          </rPr>
          <t xml:space="preserve"> 
</t>
        </r>
        <r>
          <rPr>
            <sz val="9"/>
            <color indexed="81"/>
            <rFont val="Tahoma"/>
            <family val="2"/>
          </rPr>
          <t>Se debe registrar en el campo</t>
        </r>
        <r>
          <rPr>
            <b/>
            <sz val="9"/>
            <color indexed="81"/>
            <rFont val="Tahoma"/>
            <family val="2"/>
          </rPr>
          <t xml:space="preserve"> "Resultado Evaluacion de Riesgo" </t>
        </r>
        <r>
          <rPr>
            <sz val="9"/>
            <color indexed="81"/>
            <rFont val="Tahoma"/>
            <family val="2"/>
          </rPr>
          <t>el valor</t>
        </r>
        <r>
          <rPr>
            <b/>
            <sz val="9"/>
            <color indexed="81"/>
            <rFont val="Tahoma"/>
            <family val="2"/>
          </rPr>
          <t xml:space="preserve"> "Bajo Riesgo"</t>
        </r>
        <r>
          <rPr>
            <sz val="9"/>
            <color indexed="81"/>
            <rFont val="Tahoma"/>
            <family val="2"/>
          </rPr>
          <t>, en el campo</t>
        </r>
        <r>
          <rPr>
            <b/>
            <sz val="9"/>
            <color indexed="81"/>
            <rFont val="Tahoma"/>
            <family val="2"/>
          </rPr>
          <t xml:space="preserve"> Estado del Control </t>
        </r>
        <r>
          <rPr>
            <sz val="9"/>
            <color indexed="81"/>
            <rFont val="Tahoma"/>
            <family val="2"/>
          </rPr>
          <t>debe tener algun valor</t>
        </r>
        <r>
          <rPr>
            <b/>
            <sz val="9"/>
            <color indexed="81"/>
            <rFont val="Tahoma"/>
            <family val="2"/>
          </rPr>
          <t xml:space="preserve"> Ingreso </t>
        </r>
        <r>
          <rPr>
            <sz val="9"/>
            <color indexed="81"/>
            <rFont val="Tahoma"/>
            <family val="2"/>
          </rPr>
          <t>o</t>
        </r>
        <r>
          <rPr>
            <b/>
            <sz val="9"/>
            <color indexed="81"/>
            <rFont val="Tahoma"/>
            <family val="2"/>
          </rPr>
          <t xml:space="preserve"> Primer control del año </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r>
          <rPr>
            <sz val="9"/>
            <color indexed="81"/>
            <rFont val="Tahoma"/>
            <family val="2"/>
          </rPr>
          <t>.</t>
        </r>
      </text>
    </comment>
    <comment ref="A206" authorId="9" shapeId="0" xr:uid="{B8B74BA7-7C06-40EC-956E-2E7B2545C05B}">
      <text>
        <r>
          <rPr>
            <sz val="9"/>
            <color indexed="81"/>
            <rFont val="Tahoma"/>
            <family val="2"/>
          </rPr>
          <t xml:space="preserve">Se considera como Población Bajo Control a aquellos que cumplan con las siguientes condiciones:
En el Formulario </t>
        </r>
        <r>
          <rPr>
            <b/>
            <sz val="9"/>
            <color indexed="81"/>
            <rFont val="Tahoma"/>
            <family val="2"/>
          </rPr>
          <t>"Población en Control con Enfoque de Riesgo Odontológico (Cero)"</t>
        </r>
        <r>
          <rPr>
            <sz val="9"/>
            <color indexed="81"/>
            <rFont val="Tahoma"/>
            <family val="2"/>
          </rPr>
          <t xml:space="preserve"> desde los 0 días, hasta los 9 años 11 meses y 29 días. 
Se debe registrar en el campo </t>
        </r>
        <r>
          <rPr>
            <b/>
            <sz val="9"/>
            <color indexed="81"/>
            <rFont val="Tahoma"/>
            <family val="2"/>
          </rPr>
          <t>"Resultado Evaluacion de Riesgo"</t>
        </r>
        <r>
          <rPr>
            <sz val="9"/>
            <color indexed="81"/>
            <rFont val="Tahoma"/>
            <family val="2"/>
          </rPr>
          <t xml:space="preserve"> algun valor según Riesgo, y en el </t>
        </r>
        <r>
          <rPr>
            <b/>
            <sz val="9"/>
            <color indexed="81"/>
            <rFont val="Tahoma"/>
            <family val="2"/>
          </rPr>
          <t>campo Estado del Control</t>
        </r>
        <r>
          <rPr>
            <sz val="9"/>
            <color indexed="81"/>
            <rFont val="Tahoma"/>
            <family val="2"/>
          </rPr>
          <t xml:space="preserve"> debe tener algun valor </t>
        </r>
        <r>
          <rPr>
            <b/>
            <sz val="9"/>
            <color indexed="81"/>
            <rFont val="Tahoma"/>
            <family val="2"/>
          </rPr>
          <t>Ingreso o Primer control del año.</t>
        </r>
        <r>
          <rPr>
            <sz val="9"/>
            <color indexed="81"/>
            <rFont val="Tahoma"/>
            <family val="2"/>
          </rPr>
          <t xml:space="preserve"> 
Además en el </t>
        </r>
        <r>
          <rPr>
            <b/>
            <sz val="9"/>
            <color indexed="81"/>
            <rFont val="Tahoma"/>
            <family val="2"/>
          </rPr>
          <t>Odontograma</t>
        </r>
        <r>
          <rPr>
            <sz val="9"/>
            <color indexed="81"/>
            <rFont val="Tahoma"/>
            <family val="2"/>
          </rPr>
          <t>, se considera la sumatoria del</t>
        </r>
        <r>
          <rPr>
            <b/>
            <sz val="9"/>
            <color indexed="81"/>
            <rFont val="Tahoma"/>
            <family val="2"/>
          </rPr>
          <t xml:space="preserve"> Índice CEO </t>
        </r>
        <r>
          <rPr>
            <sz val="9"/>
            <color indexed="81"/>
            <rFont val="Tahoma"/>
            <family val="2"/>
          </rPr>
          <t>de dientes</t>
        </r>
        <r>
          <rPr>
            <b/>
            <sz val="9"/>
            <color indexed="81"/>
            <rFont val="Tahoma"/>
            <family val="2"/>
          </rPr>
          <t xml:space="preserve"> cariados, obturados y/o perdidos por caries.
*En menores de 7 años se consideran los dientes primarios para el registro de ceod y a partir de los 7 años se consideran los dientes definitivos para el índice COPD.
Adicionalmente </t>
        </r>
        <r>
          <rPr>
            <sz val="9"/>
            <color indexed="81"/>
            <rFont val="Tahoma"/>
            <family val="2"/>
          </rPr>
          <t>debe  tener registrada la</t>
        </r>
        <r>
          <rPr>
            <b/>
            <sz val="9"/>
            <color indexed="81"/>
            <rFont val="Tahoma"/>
            <family val="2"/>
          </rPr>
          <t xml:space="preserve"> fecha de proximo control </t>
        </r>
        <r>
          <rPr>
            <sz val="9"/>
            <color indexed="81"/>
            <rFont val="Tahoma"/>
            <family val="2"/>
          </rPr>
          <t xml:space="preserve">en el formulario.
</t>
        </r>
        <r>
          <rPr>
            <b/>
            <sz val="9"/>
            <color indexed="81"/>
            <rFont val="Tahoma"/>
            <family val="2"/>
          </rPr>
          <t xml:space="preserve">
</t>
        </r>
        <r>
          <rPr>
            <sz val="9"/>
            <color indexed="81"/>
            <rFont val="Tahoma"/>
            <family val="2"/>
          </rPr>
          <t xml:space="preserve">
</t>
        </r>
      </text>
    </comment>
    <comment ref="A213" authorId="1" shapeId="0" xr:uid="{4ECD8D54-DD26-4868-998D-329829ABF67B}">
      <text>
        <r>
          <rPr>
            <sz val="9"/>
            <color indexed="81"/>
            <rFont val="Tahoma"/>
            <family val="2"/>
          </rPr>
          <t xml:space="preserve">
Corresponde a los niños(as) bajo control que no acudieron a su control con odontólogo(a) en la fecha establecida y que según edad y riesgo alcanzado en el corte, su inasistencia a control supera los plazos máximos especificados a continuación:
- 1 a 2 años: 
  Bajo riesgo:mas de 12 Meses de inasistencia desde el último control asistente con registro en Formulario.
  Alto riesgo: mas de 6 Meses de inasistencia desde el último control asistente con registro en Formulario.
- 3 a 9 años:
  Bajo riesgo: mas de 6 Meses de inasistencia desde el último control asistente.
  Alto riesgo: mas de 4 Meses de inasistencia desde el último control asistente.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Ines Kohnenkamp</author>
    <author>Priscilla Acuña</author>
    <author>fmenares</author>
    <author>Rene Figueroa Rocha</author>
    <author>Andrea Gonzalez</author>
    <author>Nicole Cisternas</author>
    <author>John San Martin Retamal</author>
  </authors>
  <commentList>
    <comment ref="A9" authorId="0" shapeId="0" xr:uid="{A134C854-8A6C-4192-8599-243EF0E47C37}">
      <text>
        <r>
          <rPr>
            <b/>
            <sz val="9"/>
            <color indexed="81"/>
            <rFont val="Tahoma"/>
            <family val="2"/>
          </rPr>
          <t>Tiempo de inasistencia máxima:</t>
        </r>
        <r>
          <rPr>
            <sz val="9"/>
            <color indexed="81"/>
            <rFont val="Tahoma"/>
            <family val="2"/>
          </rPr>
          <t xml:space="preserve">
Para menores de 10 años, se considera como abandono lo siguiente:
Menores de 1 año: 2 meses 29 días de inasistencia desde la última citación, a la fecha del corte. 
De 12 a 23 meses: 5 meses 29 días de inasistencia desde la última citación, a la fecha del corte. 
De 24 meses hasta 5 años 11 meses 29 días: 11 meses 29 días de inasistencia desde la última citación, a la fecha del corte. 
Para mayores de 10 años, el plazo de inasistencia para dejar de ser población bajo control deberá estar definido por cada uno de los programas que abarca esta Sección
</t>
        </r>
      </text>
    </comment>
    <comment ref="AN9" authorId="0" shapeId="0" xr:uid="{823670B1-405B-483A-A2CA-D3D810FFFAEF}">
      <text>
        <r>
          <rPr>
            <sz val="9"/>
            <color indexed="81"/>
            <rFont val="Tahoma"/>
            <family val="2"/>
          </rPr>
          <t xml:space="preserve">Este dato será contabilizado desde Formulario Clinico </t>
        </r>
        <r>
          <rPr>
            <b/>
            <sz val="9"/>
            <color indexed="81"/>
            <rFont val="Tahoma"/>
            <family val="2"/>
          </rPr>
          <t xml:space="preserve">"Espirometria". </t>
        </r>
        <r>
          <rPr>
            <sz val="9"/>
            <color indexed="81"/>
            <rFont val="Tahoma"/>
            <family val="2"/>
          </rPr>
          <t>En</t>
        </r>
        <r>
          <rPr>
            <b/>
            <sz val="9"/>
            <color indexed="81"/>
            <rFont val="Tahoma"/>
            <family val="2"/>
          </rPr>
          <t xml:space="preserve"> </t>
        </r>
        <r>
          <rPr>
            <sz val="9"/>
            <color indexed="81"/>
            <rFont val="Tahoma"/>
            <family val="2"/>
          </rPr>
          <t>campo</t>
        </r>
        <r>
          <rPr>
            <b/>
            <sz val="9"/>
            <color indexed="81"/>
            <rFont val="Tahoma"/>
            <family val="2"/>
          </rPr>
          <t xml:space="preserve">  "Fecha Vigencia" </t>
        </r>
        <r>
          <rPr>
            <sz val="9"/>
            <color indexed="81"/>
            <rFont val="Tahoma"/>
            <family val="2"/>
          </rPr>
          <t>debe tener un valor</t>
        </r>
        <r>
          <rPr>
            <b/>
            <sz val="9"/>
            <color indexed="81"/>
            <rFont val="Tahoma"/>
            <family val="2"/>
          </rPr>
          <t xml:space="preserve"> menor  a 23 meses 30 dias a la fecha de corte.</t>
        </r>
        <r>
          <rPr>
            <sz val="9"/>
            <color indexed="81"/>
            <rFont val="Tahoma"/>
            <family val="2"/>
          </rPr>
          <t xml:space="preserve"> 
</t>
        </r>
      </text>
    </comment>
    <comment ref="AO9" authorId="1" shapeId="0" xr:uid="{C50A51CC-87A1-4A81-8615-3C0F3FB97A71}">
      <text>
        <r>
          <rPr>
            <sz val="9"/>
            <color indexed="81"/>
            <rFont val="Tahoma"/>
            <family val="2"/>
          </rPr>
          <t xml:space="preserve">
Se contabilizara a los usuarios  que en el </t>
        </r>
        <r>
          <rPr>
            <b/>
            <sz val="9"/>
            <color indexed="81"/>
            <rFont val="Tahoma"/>
            <family val="2"/>
          </rPr>
          <t>Módulo Admisión</t>
        </r>
        <r>
          <rPr>
            <sz val="9"/>
            <color indexed="81"/>
            <rFont val="Tahoma"/>
            <family val="2"/>
          </rPr>
          <t>, tengan registrado en el campo</t>
        </r>
        <r>
          <rPr>
            <b/>
            <sz val="9"/>
            <color indexed="81"/>
            <rFont val="Tahoma"/>
            <family val="2"/>
          </rPr>
          <t xml:space="preserve"> Pertenece a  Pueblo Indigena </t>
        </r>
        <r>
          <rPr>
            <sz val="9"/>
            <color indexed="81"/>
            <rFont val="Tahoma"/>
            <family val="2"/>
          </rPr>
          <t>el valor</t>
        </r>
        <r>
          <rPr>
            <b/>
            <sz val="9"/>
            <color indexed="81"/>
            <rFont val="Tahoma"/>
            <family val="2"/>
          </rPr>
          <t xml:space="preserve"> si</t>
        </r>
        <r>
          <rPr>
            <sz val="9"/>
            <color indexed="81"/>
            <rFont val="Tahoma"/>
            <family val="2"/>
          </rPr>
          <t xml:space="preserve"> y ademas </t>
        </r>
        <r>
          <rPr>
            <b/>
            <sz val="9"/>
            <color indexed="81"/>
            <rFont val="Tahoma"/>
            <family val="2"/>
          </rPr>
          <t xml:space="preserve">tenga seleccionado algun Pueblo indigena del listado. </t>
        </r>
      </text>
    </comment>
    <comment ref="AQ9" authorId="0" shapeId="0" xr:uid="{95FFC93E-BFE5-4BC0-B3DC-D83FA254C532}">
      <text>
        <r>
          <rPr>
            <sz val="9"/>
            <color indexed="81"/>
            <rFont val="Tahoma"/>
            <family val="2"/>
          </rPr>
          <t>Se contabilizara a los pacientes que tengan en Módulo Admisión o en Box Pacientes Citados registrado en el</t>
        </r>
        <r>
          <rPr>
            <b/>
            <sz val="9"/>
            <color indexed="81"/>
            <rFont val="Tahoma"/>
            <family val="2"/>
          </rPr>
          <t xml:space="preserve">  </t>
        </r>
        <r>
          <rPr>
            <sz val="9"/>
            <color indexed="81"/>
            <rFont val="Tahoma"/>
            <family val="2"/>
          </rPr>
          <t xml:space="preserve">Item  Alertas Administrativas la opción </t>
        </r>
        <r>
          <rPr>
            <b/>
            <sz val="9"/>
            <color indexed="81"/>
            <rFont val="Tahoma"/>
            <family val="2"/>
          </rPr>
          <t>"MIGRANTES"</t>
        </r>
      </text>
    </comment>
    <comment ref="C12" authorId="0" shapeId="0" xr:uid="{63CF364E-789E-4CB3-869E-C116EC282568}">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en campo  </t>
        </r>
        <r>
          <rPr>
            <b/>
            <sz val="10"/>
            <color indexed="81"/>
            <rFont val="Tahoma"/>
            <family val="2"/>
          </rPr>
          <t>"Gravedad SBOR"</t>
        </r>
        <r>
          <rPr>
            <sz val="10"/>
            <color indexed="81"/>
            <rFont val="Tahoma"/>
            <family val="2"/>
          </rPr>
          <t xml:space="preserve"> se registre el valor</t>
        </r>
        <r>
          <rPr>
            <b/>
            <sz val="10"/>
            <color indexed="81"/>
            <rFont val="Tahoma"/>
            <family val="2"/>
          </rPr>
          <t xml:space="preserve"> "Leve"</t>
        </r>
        <r>
          <rPr>
            <sz val="10"/>
            <color indexed="81"/>
            <rFont val="Tahoma"/>
            <family val="2"/>
          </rPr>
          <t>. 
Además,   la</t>
        </r>
        <r>
          <rPr>
            <b/>
            <sz val="10"/>
            <color indexed="81"/>
            <rFont val="Tahoma"/>
            <family val="2"/>
          </rPr>
          <t xml:space="preserve"> fecha de Proximo control</t>
        </r>
        <r>
          <rPr>
            <sz val="10"/>
            <color indexed="81"/>
            <rFont val="Tahoma"/>
            <family val="2"/>
          </rPr>
          <t xml:space="preserve">, no debe superar el tiempo de inasistencia. </t>
        </r>
        <r>
          <rPr>
            <sz val="8"/>
            <color indexed="81"/>
            <rFont val="Tahoma"/>
            <family val="2"/>
          </rPr>
          <t xml:space="preserve">
</t>
        </r>
      </text>
    </comment>
    <comment ref="C13" authorId="0" shapeId="0" xr:uid="{1791C3E5-0EF8-4C07-BD96-8A03AEF465FF}">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en campo</t>
        </r>
        <r>
          <rPr>
            <b/>
            <sz val="10"/>
            <color indexed="81"/>
            <rFont val="Tahoma"/>
            <family val="2"/>
          </rPr>
          <t xml:space="preserve"> "Gravedad SBOR"</t>
        </r>
        <r>
          <rPr>
            <sz val="10"/>
            <color indexed="81"/>
            <rFont val="Tahoma"/>
            <family val="2"/>
          </rPr>
          <t xml:space="preserve"> se registre el valor </t>
        </r>
        <r>
          <rPr>
            <b/>
            <sz val="10"/>
            <color indexed="81"/>
            <rFont val="Tahoma"/>
            <family val="2"/>
          </rPr>
          <t>"Moderado"</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text>
    </comment>
    <comment ref="C14" authorId="0" shapeId="0" xr:uid="{59B53036-E8FC-4EF5-8C0F-5BB2BEB2CA09}">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t>
        </r>
        <r>
          <rPr>
            <b/>
            <sz val="10"/>
            <color indexed="81"/>
            <rFont val="Tahoma"/>
            <family val="2"/>
          </rPr>
          <t xml:space="preserve"> Ingreso o Seguimiento o Reingreso</t>
        </r>
        <r>
          <rPr>
            <sz val="10"/>
            <color indexed="81"/>
            <rFont val="Tahoma"/>
            <family val="2"/>
          </rPr>
          <t xml:space="preserve"> y en campo</t>
        </r>
        <r>
          <rPr>
            <b/>
            <sz val="10"/>
            <color indexed="81"/>
            <rFont val="Tahoma"/>
            <family val="2"/>
          </rPr>
          <t xml:space="preserve"> "Gravedad SBOR"</t>
        </r>
        <r>
          <rPr>
            <sz val="10"/>
            <color indexed="81"/>
            <rFont val="Tahoma"/>
            <family val="2"/>
          </rPr>
          <t xml:space="preserve"> se registre el valor </t>
        </r>
        <r>
          <rPr>
            <b/>
            <sz val="10"/>
            <color indexed="81"/>
            <rFont val="Tahoma"/>
            <family val="2"/>
          </rPr>
          <t>"Severo".</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text>
    </comment>
    <comment ref="C15" authorId="0" shapeId="0" xr:uid="{6EA18A15-4BDC-4C78-96F3-D769B9E32344}">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 xml:space="preserve">"Estado" </t>
        </r>
        <r>
          <rPr>
            <sz val="10"/>
            <color indexed="81"/>
            <rFont val="Tahoma"/>
            <family val="2"/>
          </rPr>
          <t xml:space="preserve">se registre el valor </t>
        </r>
        <r>
          <rPr>
            <b/>
            <sz val="10"/>
            <color indexed="81"/>
            <rFont val="Tahoma"/>
            <family val="2"/>
          </rPr>
          <t>Ingreso o Seguimiento o Reingreso</t>
        </r>
        <r>
          <rPr>
            <sz val="10"/>
            <color indexed="81"/>
            <rFont val="Tahoma"/>
            <family val="2"/>
          </rPr>
          <t xml:space="preserve"> y en campo  </t>
        </r>
        <r>
          <rPr>
            <b/>
            <sz val="10"/>
            <color indexed="81"/>
            <rFont val="Tahoma"/>
            <family val="2"/>
          </rPr>
          <t xml:space="preserve">"Gravedad Asma Bronquial" </t>
        </r>
        <r>
          <rPr>
            <sz val="10"/>
            <color indexed="81"/>
            <rFont val="Tahoma"/>
            <family val="2"/>
          </rPr>
          <t xml:space="preserve">se registre el valor </t>
        </r>
        <r>
          <rPr>
            <b/>
            <sz val="10"/>
            <color indexed="81"/>
            <rFont val="Tahoma"/>
            <family val="2"/>
          </rPr>
          <t>"Leve".</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16" authorId="0" shapeId="0" xr:uid="{AD8B6CEC-4862-4ADE-A90B-AF32797B851A}">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en campo </t>
        </r>
        <r>
          <rPr>
            <b/>
            <sz val="10"/>
            <color indexed="81"/>
            <rFont val="Tahoma"/>
            <family val="2"/>
          </rPr>
          <t>"Gravedad Asma Bronquial"</t>
        </r>
        <r>
          <rPr>
            <sz val="10"/>
            <color indexed="81"/>
            <rFont val="Tahoma"/>
            <family val="2"/>
          </rPr>
          <t xml:space="preserve"> se registre el valor </t>
        </r>
        <r>
          <rPr>
            <b/>
            <sz val="10"/>
            <color indexed="81"/>
            <rFont val="Tahoma"/>
            <family val="2"/>
          </rPr>
          <t>"Moderado".</t>
        </r>
        <r>
          <rPr>
            <sz val="10"/>
            <color indexed="81"/>
            <rFont val="Tahoma"/>
            <family val="2"/>
          </rPr>
          <t xml:space="preserve"> 
Además, la </t>
        </r>
        <r>
          <rPr>
            <b/>
            <sz val="10"/>
            <color indexed="81"/>
            <rFont val="Tahoma"/>
            <family val="2"/>
          </rPr>
          <t>fecha de Proximo control</t>
        </r>
        <r>
          <rPr>
            <sz val="10"/>
            <color indexed="81"/>
            <rFont val="Tahoma"/>
            <family val="2"/>
          </rPr>
          <t>, no debe superar el tiempo de inasistencia.</t>
        </r>
      </text>
    </comment>
    <comment ref="C17" authorId="0" shapeId="0" xr:uid="{1CDAF9A5-0884-40B3-AE95-BB84BCAEBBC1}">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en campo </t>
        </r>
        <r>
          <rPr>
            <b/>
            <sz val="10"/>
            <color indexed="81"/>
            <rFont val="Tahoma"/>
            <family val="2"/>
          </rPr>
          <t>"Gravedad Asma Bronquial"</t>
        </r>
        <r>
          <rPr>
            <sz val="10"/>
            <color indexed="81"/>
            <rFont val="Tahoma"/>
            <family val="2"/>
          </rPr>
          <t xml:space="preserve"> se registre el valor </t>
        </r>
        <r>
          <rPr>
            <b/>
            <sz val="10"/>
            <color indexed="81"/>
            <rFont val="Tahoma"/>
            <family val="2"/>
          </rPr>
          <t>"Severo"</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text>
    </comment>
    <comment ref="C18" authorId="0" shapeId="0" xr:uid="{8C527130-1D20-4873-8159-0A9B213DBA78}">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 ¿Padece Enfermedad Pulmonar Crónica?"</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en campo   </t>
        </r>
        <r>
          <rPr>
            <b/>
            <sz val="10"/>
            <color indexed="81"/>
            <rFont val="Tahoma"/>
            <family val="2"/>
          </rPr>
          <t>Tipo EPOC</t>
        </r>
        <r>
          <rPr>
            <sz val="10"/>
            <color indexed="81"/>
            <rFont val="Tahoma"/>
            <family val="2"/>
          </rPr>
          <t xml:space="preserve"> se registre el valor </t>
        </r>
        <r>
          <rPr>
            <b/>
            <sz val="10"/>
            <color indexed="81"/>
            <rFont val="Tahoma"/>
            <family val="2"/>
          </rPr>
          <t>"Tipo A"</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r>
          <rPr>
            <sz val="9"/>
            <color indexed="81"/>
            <rFont val="Tahoma"/>
            <family val="2"/>
          </rPr>
          <t xml:space="preserve">
</t>
        </r>
      </text>
    </comment>
    <comment ref="C19" authorId="0" shapeId="0" xr:uid="{1D467DBC-BE7B-40D6-AF2E-FB37EE4E3A89}">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"¿Padece Enfermedad Pulmonar Crónica?"</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t>
        </r>
        <r>
          <rPr>
            <b/>
            <sz val="10"/>
            <color indexed="81"/>
            <rFont val="Tahoma"/>
            <family val="2"/>
          </rPr>
          <t xml:space="preserve"> Ingreso o Seguimiento o Reingreso</t>
        </r>
        <r>
          <rPr>
            <sz val="10"/>
            <color indexed="81"/>
            <rFont val="Tahoma"/>
            <family val="2"/>
          </rPr>
          <t xml:space="preserve"> y en campo </t>
        </r>
        <r>
          <rPr>
            <b/>
            <sz val="10"/>
            <color indexed="81"/>
            <rFont val="Tahoma"/>
            <family val="2"/>
          </rPr>
          <t>Tipo EPOC</t>
        </r>
        <r>
          <rPr>
            <sz val="10"/>
            <color indexed="81"/>
            <rFont val="Tahoma"/>
            <family val="2"/>
          </rPr>
          <t xml:space="preserve"> se registre el valor </t>
        </r>
        <r>
          <rPr>
            <b/>
            <sz val="10"/>
            <color indexed="81"/>
            <rFont val="Tahoma"/>
            <family val="2"/>
          </rPr>
          <t>"Tipo B".</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r>
          <rPr>
            <sz val="9"/>
            <color indexed="81"/>
            <rFont val="Tahoma"/>
            <family val="2"/>
          </rPr>
          <t xml:space="preserve">
</t>
        </r>
      </text>
    </comment>
    <comment ref="C20" authorId="0" shapeId="0" xr:uid="{530D3D75-50C2-4F4F-844A-9F99FE83ED8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"¿Padece Otras Enfermedades  Respiratorias?"</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21" authorId="0" shapeId="0" xr:uid="{CC42DFF5-F87E-4DF1-8011-BF29580D15BB}">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"¿Es Oxigeno Dependiente?"</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o Seguimiento o Reingreso</t>
        </r>
        <r>
          <rPr>
            <sz val="10"/>
            <color indexed="81"/>
            <rFont val="Tahoma"/>
            <family val="2"/>
          </rPr>
          <t xml:space="preserve">
Además,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22" authorId="2" shapeId="0" xr:uid="{153133C2-8827-41A3-8C29-E354930E5606}">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xml:space="preserve">"¿Es Oxigeno Dependiente?" </t>
        </r>
        <r>
          <rPr>
            <sz val="10"/>
            <color indexed="81"/>
            <rFont val="Tahoma"/>
            <family val="2"/>
          </rPr>
          <t>se registre el valor</t>
        </r>
        <r>
          <rPr>
            <b/>
            <sz val="10"/>
            <color indexed="81"/>
            <rFont val="Tahoma"/>
            <family val="2"/>
          </rPr>
          <t xml:space="preserve"> "SI"</t>
        </r>
        <r>
          <rPr>
            <sz val="10"/>
            <color indexed="81"/>
            <rFont val="Tahoma"/>
            <family val="2"/>
          </rPr>
          <t xml:space="preserve">, en campo </t>
        </r>
        <r>
          <rPr>
            <b/>
            <sz val="10"/>
            <color indexed="81"/>
            <rFont val="Tahoma"/>
            <family val="2"/>
          </rPr>
          <t xml:space="preserve"> "Estado"</t>
        </r>
        <r>
          <rPr>
            <sz val="10"/>
            <color indexed="81"/>
            <rFont val="Tahoma"/>
            <family val="2"/>
          </rPr>
          <t xml:space="preserve"> se registre el valor </t>
        </r>
        <r>
          <rPr>
            <b/>
            <sz val="10"/>
            <color indexed="81"/>
            <rFont val="Tahoma"/>
            <family val="2"/>
          </rPr>
          <t xml:space="preserve">Ingreso o Seguimiento o Reingreso.
</t>
        </r>
        <r>
          <rPr>
            <sz val="10"/>
            <color indexed="81"/>
            <rFont val="Tahoma"/>
            <family val="2"/>
          </rPr>
          <t xml:space="preserve">Además, en campo  </t>
        </r>
        <r>
          <rPr>
            <b/>
            <sz val="10"/>
            <color indexed="81"/>
            <rFont val="Tahoma"/>
            <family val="2"/>
          </rPr>
          <t>"Asistencia Ventilatoria"</t>
        </r>
        <r>
          <rPr>
            <sz val="10"/>
            <color indexed="81"/>
            <rFont val="Tahoma"/>
            <family val="2"/>
          </rPr>
          <t xml:space="preserve"> tenga el valor </t>
        </r>
        <r>
          <rPr>
            <b/>
            <sz val="10"/>
            <color indexed="81"/>
            <rFont val="Tahoma"/>
            <family val="2"/>
          </rPr>
          <t xml:space="preserve">"Invasiva </t>
        </r>
        <r>
          <rPr>
            <sz val="10"/>
            <color indexed="81"/>
            <rFont val="Tahoma"/>
            <family val="2"/>
          </rPr>
          <t>o</t>
        </r>
        <r>
          <rPr>
            <b/>
            <sz val="10"/>
            <color indexed="81"/>
            <rFont val="Tahoma"/>
            <family val="2"/>
          </rPr>
          <t xml:space="preserve"> No Invasiva"</t>
        </r>
        <r>
          <rPr>
            <sz val="10"/>
            <color indexed="81"/>
            <rFont val="Tahoma"/>
            <family val="2"/>
          </rPr>
          <t xml:space="preserve"> y en campo  </t>
        </r>
        <r>
          <rPr>
            <b/>
            <sz val="10"/>
            <color indexed="81"/>
            <rFont val="Tahoma"/>
            <family val="2"/>
          </rPr>
          <t>"Estado Asistencia Ventilatoria</t>
        </r>
        <r>
          <rPr>
            <sz val="10"/>
            <color indexed="81"/>
            <rFont val="Tahoma"/>
            <family val="2"/>
          </rPr>
          <t xml:space="preserve">" el valor  </t>
        </r>
        <r>
          <rPr>
            <b/>
            <sz val="10"/>
            <color indexed="81"/>
            <rFont val="Tahoma"/>
            <family val="2"/>
          </rPr>
          <t xml:space="preserve">"Ingreso o Seguimiento o Reingreso"
</t>
        </r>
        <r>
          <rPr>
            <sz val="10"/>
            <color indexed="81"/>
            <rFont val="Tahoma"/>
            <family val="2"/>
          </rPr>
          <t>Y</t>
        </r>
        <r>
          <rPr>
            <b/>
            <sz val="10"/>
            <color indexed="81"/>
            <rFont val="Tahoma"/>
            <family val="2"/>
          </rPr>
          <t xml:space="preserve">   </t>
        </r>
        <r>
          <rPr>
            <sz val="10"/>
            <color indexed="81"/>
            <rFont val="Tahoma"/>
            <family val="2"/>
          </rPr>
          <t xml:space="preserve">la </t>
        </r>
        <r>
          <rPr>
            <b/>
            <sz val="10"/>
            <color indexed="81"/>
            <rFont val="Tahoma"/>
            <family val="2"/>
          </rPr>
          <t>fecha de Proximo control</t>
        </r>
        <r>
          <rPr>
            <sz val="10"/>
            <color indexed="81"/>
            <rFont val="Tahoma"/>
            <family val="2"/>
          </rPr>
          <t>, no debe superar el tiempo de inasistencia.</t>
        </r>
      </text>
    </comment>
    <comment ref="C23" authorId="0" shapeId="0" xr:uid="{C119FC91-9D74-464F-A2D0-962A698D928C}">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Fibrosis Quistica?"</t>
        </r>
        <r>
          <rPr>
            <sz val="10"/>
            <color indexed="81"/>
            <rFont val="Tahoma"/>
            <family val="2"/>
          </rPr>
          <t xml:space="preserve"> se registre el valor</t>
        </r>
        <r>
          <rPr>
            <b/>
            <sz val="10"/>
            <color indexed="81"/>
            <rFont val="Tahoma"/>
            <family val="2"/>
          </rPr>
          <t xml:space="preserve"> "SI"</t>
        </r>
        <r>
          <rPr>
            <sz val="10"/>
            <color indexed="81"/>
            <rFont val="Tahoma"/>
            <family val="2"/>
          </rPr>
          <t>, en campo</t>
        </r>
        <r>
          <rPr>
            <b/>
            <sz val="10"/>
            <color indexed="81"/>
            <rFont val="Tahoma"/>
            <family val="2"/>
          </rPr>
          <t xml:space="preserve">  "Estado"</t>
        </r>
        <r>
          <rPr>
            <sz val="10"/>
            <color indexed="81"/>
            <rFont val="Tahoma"/>
            <family val="2"/>
          </rPr>
          <t xml:space="preserve"> se registre el valor</t>
        </r>
        <r>
          <rPr>
            <b/>
            <sz val="10"/>
            <color indexed="81"/>
            <rFont val="Tahoma"/>
            <family val="2"/>
          </rPr>
          <t xml:space="preserve"> 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no debe superar el tiempo de inasistencia.</t>
        </r>
      </text>
    </comment>
    <comment ref="C24" authorId="0" shapeId="0" xr:uid="{1797EC47-298B-43CF-9F0B-8AA2E03F4188}">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de Epilepsia"</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text>
    </comment>
    <comment ref="C25" authorId="3" shapeId="0" xr:uid="{3FDF70F2-DA39-4B87-AC8F-5281853B777F}">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t>
        </r>
        <r>
          <rPr>
            <sz val="9"/>
            <color indexed="81"/>
            <rFont val="Tahoma"/>
            <family val="2"/>
          </rPr>
          <t xml:space="preserve"> a una atención; se registre el Formulario Clínico </t>
        </r>
        <r>
          <rPr>
            <b/>
            <sz val="9"/>
            <color indexed="81"/>
            <rFont val="Tahoma"/>
            <family val="2"/>
          </rPr>
          <t xml:space="preserve">"Control de Crecimiento y Desarrollo (Control Sano) " </t>
        </r>
        <r>
          <rPr>
            <sz val="9"/>
            <color indexed="81"/>
            <rFont val="Tahoma"/>
            <family val="2"/>
          </rPr>
          <t xml:space="preserve">, en el campo </t>
        </r>
        <r>
          <rPr>
            <b/>
            <sz val="9"/>
            <color indexed="81"/>
            <rFont val="Tahoma"/>
            <family val="2"/>
          </rPr>
          <t xml:space="preserve"> "Es Autismo Infantil" </t>
        </r>
        <r>
          <rPr>
            <sz val="9"/>
            <color indexed="81"/>
            <rFont val="Tahoma"/>
            <family val="2"/>
          </rPr>
          <t>se registre el valor</t>
        </r>
        <r>
          <rPr>
            <b/>
            <sz val="9"/>
            <color indexed="81"/>
            <rFont val="Tahoma"/>
            <family val="2"/>
          </rPr>
          <t xml:space="preserve"> "SI". </t>
        </r>
        <r>
          <rPr>
            <sz val="9"/>
            <color indexed="81"/>
            <rFont val="Tahoma"/>
            <family val="2"/>
          </rPr>
          <t xml:space="preserve">Además el Campo </t>
        </r>
        <r>
          <rPr>
            <b/>
            <sz val="9"/>
            <color indexed="81"/>
            <rFont val="Tahoma"/>
            <family val="2"/>
          </rPr>
          <t xml:space="preserve">Fecha de Próximo Control </t>
        </r>
        <r>
          <rPr>
            <sz val="9"/>
            <color indexed="81"/>
            <rFont val="Tahoma"/>
            <family val="2"/>
          </rPr>
          <t>debe tenr un valor registrado.</t>
        </r>
        <r>
          <rPr>
            <b/>
            <sz val="9"/>
            <color indexed="81"/>
            <rFont val="Tahoma"/>
            <family val="2"/>
          </rPr>
          <t xml:space="preserve">
</t>
        </r>
      </text>
    </comment>
    <comment ref="C26" authorId="3" shapeId="0" xr:uid="{A28AD4FA-06C9-4CE3-B755-3B4352203EAB}">
      <text>
        <r>
          <rPr>
            <sz val="9"/>
            <color indexed="81"/>
            <rFont val="Tahoma"/>
            <family val="2"/>
          </rPr>
          <t xml:space="preserve">Este dato aparecerá  luego de que en la atención registrada en </t>
        </r>
        <r>
          <rPr>
            <b/>
            <sz val="9"/>
            <color indexed="81"/>
            <rFont val="Tahoma"/>
            <family val="2"/>
          </rPr>
          <t xml:space="preserve">Módulo de Box/Pacientes citados ó Módulo Box/Agregar documento </t>
        </r>
        <r>
          <rPr>
            <sz val="9"/>
            <color indexed="81"/>
            <rFont val="Tahoma"/>
            <family val="2"/>
          </rPr>
          <t xml:space="preserve">a una atención; se registre el Formulario Clínico </t>
        </r>
        <r>
          <rPr>
            <b/>
            <sz val="9"/>
            <color indexed="81"/>
            <rFont val="Tahoma"/>
            <family val="2"/>
          </rPr>
          <t xml:space="preserve">"Control de Crecimiento y Desarrollo (Control Sano) " </t>
        </r>
        <r>
          <rPr>
            <sz val="9"/>
            <color indexed="81"/>
            <rFont val="Tahoma"/>
            <family val="2"/>
          </rPr>
          <t xml:space="preserve">, en el campo </t>
        </r>
        <r>
          <rPr>
            <b/>
            <sz val="9"/>
            <color indexed="81"/>
            <rFont val="Tahoma"/>
            <family val="2"/>
          </rPr>
          <t xml:space="preserve"> "Es Autismo Atípico" </t>
        </r>
        <r>
          <rPr>
            <sz val="9"/>
            <color indexed="81"/>
            <rFont val="Tahoma"/>
            <family val="2"/>
          </rPr>
          <t xml:space="preserve">se registre el valor </t>
        </r>
        <r>
          <rPr>
            <b/>
            <sz val="9"/>
            <color indexed="81"/>
            <rFont val="Tahoma"/>
            <family val="2"/>
          </rPr>
          <t xml:space="preserve">"SI". </t>
        </r>
        <r>
          <rPr>
            <sz val="9"/>
            <color indexed="81"/>
            <rFont val="Tahoma"/>
            <family val="2"/>
          </rPr>
          <t>Además el Campo</t>
        </r>
        <r>
          <rPr>
            <b/>
            <sz val="9"/>
            <color indexed="81"/>
            <rFont val="Tahoma"/>
            <family val="2"/>
          </rPr>
          <t xml:space="preserve"> Fecha de Próximo Control </t>
        </r>
        <r>
          <rPr>
            <sz val="9"/>
            <color indexed="81"/>
            <rFont val="Tahoma"/>
            <family val="2"/>
          </rPr>
          <t>debe tenr un valor registrado.</t>
        </r>
      </text>
    </comment>
    <comment ref="C27" authorId="3" shapeId="0" xr:uid="{DF7FDF92-D2B2-4B53-82EB-01215C4FC8EB}">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 </t>
        </r>
        <r>
          <rPr>
            <sz val="9"/>
            <color indexed="81"/>
            <rFont val="Tahoma"/>
            <family val="2"/>
          </rPr>
          <t xml:space="preserve">se registre el Formulario Clínico </t>
        </r>
        <r>
          <rPr>
            <b/>
            <sz val="9"/>
            <color indexed="81"/>
            <rFont val="Tahoma"/>
            <family val="2"/>
          </rPr>
          <t xml:space="preserve">"Control de Otros Programas de Salud" </t>
        </r>
        <r>
          <rPr>
            <sz val="9"/>
            <color indexed="81"/>
            <rFont val="Tahoma"/>
            <family val="2"/>
          </rPr>
          <t>, en el campo</t>
        </r>
        <r>
          <rPr>
            <b/>
            <sz val="9"/>
            <color indexed="81"/>
            <rFont val="Tahoma"/>
            <family val="2"/>
          </rPr>
          <t xml:space="preserve"> "¿Es Asperger?" </t>
        </r>
        <r>
          <rPr>
            <sz val="9"/>
            <color indexed="81"/>
            <rFont val="Tahoma"/>
            <family val="2"/>
          </rPr>
          <t>se registre el valor</t>
        </r>
        <r>
          <rPr>
            <b/>
            <sz val="9"/>
            <color indexed="81"/>
            <rFont val="Tahoma"/>
            <family val="2"/>
          </rPr>
          <t xml:space="preserve"> "SI"</t>
        </r>
        <r>
          <rPr>
            <sz val="9"/>
            <color indexed="81"/>
            <rFont val="Tahoma"/>
            <family val="2"/>
          </rPr>
          <t xml:space="preserve">, en campo </t>
        </r>
        <r>
          <rPr>
            <b/>
            <sz val="9"/>
            <color indexed="81"/>
            <rFont val="Tahoma"/>
            <family val="2"/>
          </rPr>
          <t>"Estado"</t>
        </r>
        <r>
          <rPr>
            <sz val="9"/>
            <color indexed="81"/>
            <rFont val="Tahoma"/>
            <family val="2"/>
          </rPr>
          <t xml:space="preserve"> se registre el valor </t>
        </r>
        <r>
          <rPr>
            <b/>
            <sz val="9"/>
            <color indexed="81"/>
            <rFont val="Tahoma"/>
            <family val="2"/>
          </rPr>
          <t>Ingreso o Seguimiento o Reingreso</t>
        </r>
        <r>
          <rPr>
            <sz val="9"/>
            <color indexed="81"/>
            <rFont val="Tahoma"/>
            <family val="2"/>
          </rPr>
          <t xml:space="preserve">, ademas el campo </t>
        </r>
        <r>
          <rPr>
            <b/>
            <sz val="9"/>
            <color indexed="81"/>
            <rFont val="Tahoma"/>
            <family val="2"/>
          </rPr>
          <t xml:space="preserve">Fecha del Próximo Control </t>
        </r>
        <r>
          <rPr>
            <sz val="9"/>
            <color indexed="81"/>
            <rFont val="Tahoma"/>
            <family val="2"/>
          </rPr>
          <t xml:space="preserve">tenga un valor registrado.
</t>
        </r>
      </text>
    </comment>
    <comment ref="C28" authorId="2" shapeId="0" xr:uid="{F29FA326-2A57-4814-9EE8-2251662DBD77}">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"Examen Fondo de Ojo"</t>
        </r>
        <r>
          <rPr>
            <sz val="9"/>
            <color indexed="81"/>
            <rFont val="Tahoma"/>
            <family val="2"/>
          </rPr>
          <t xml:space="preserve">, en el campo  </t>
        </r>
        <r>
          <rPr>
            <b/>
            <sz val="9"/>
            <color indexed="81"/>
            <rFont val="Tahoma"/>
            <family val="2"/>
          </rPr>
          <t>"Glaucoma"</t>
        </r>
        <r>
          <rPr>
            <sz val="9"/>
            <color indexed="81"/>
            <rFont val="Tahoma"/>
            <family val="2"/>
          </rPr>
          <t xml:space="preserve"> se registre el valor </t>
        </r>
        <r>
          <rPr>
            <b/>
            <sz val="9"/>
            <color indexed="81"/>
            <rFont val="Tahoma"/>
            <family val="2"/>
          </rPr>
          <t>"SI"</t>
        </r>
        <r>
          <rPr>
            <sz val="9"/>
            <color indexed="81"/>
            <rFont val="Tahoma"/>
            <family val="2"/>
          </rPr>
          <t xml:space="preserve"> y   la </t>
        </r>
        <r>
          <rPr>
            <b/>
            <sz val="9"/>
            <color indexed="81"/>
            <rFont val="Tahoma"/>
            <family val="2"/>
          </rPr>
          <t>fecha de Proximo control,</t>
        </r>
        <r>
          <rPr>
            <sz val="9"/>
            <color indexed="81"/>
            <rFont val="Tahoma"/>
            <family val="2"/>
          </rPr>
          <t xml:space="preserve"> no debe superar el tiempo de inasistencia.
</t>
        </r>
      </text>
    </comment>
    <comment ref="C29" authorId="0" shapeId="0" xr:uid="{80D45711-C9D6-4F75-96B6-CBDE190AD5F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de la Enfermedad de Parkinson?"</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text>
    </comment>
    <comment ref="C30" authorId="0" shapeId="0" xr:uid="{77A681C6-FACD-45C4-8C2B-E58E7ED89C13}">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"¿Padece de Artrosis de Cadera y/o Rodilla?"</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no debe superar el tiempo de inasistencia.</t>
        </r>
      </text>
    </comment>
    <comment ref="C31" authorId="0" shapeId="0" xr:uid="{CF9841FC-D24A-4FAF-8729-7BE11FC37EDA}">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"¿Usted asiste a terapia de alivio del Dolor?"</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32" authorId="0" shapeId="0" xr:uid="{C79EA685-E331-4F38-B4B0-EC674988AF55}">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"¿Padece de Hipotiroidismo?"</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o Seguimiento o Reingreso</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33" authorId="4" shapeId="0" xr:uid="{A6FCE377-2224-418C-A007-1477F50AA095}">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VDI1 Ingreso PADPDS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Dependencia</t>
        </r>
        <r>
          <rPr>
            <sz val="9"/>
            <color indexed="81"/>
            <rFont val="Tahoma"/>
            <family val="2"/>
          </rPr>
          <t xml:space="preserve"> se selecione el valor </t>
        </r>
        <r>
          <rPr>
            <b/>
            <sz val="9"/>
            <color indexed="81"/>
            <rFont val="Tahoma"/>
            <family val="2"/>
          </rPr>
          <t xml:space="preserve">Leve </t>
        </r>
        <r>
          <rPr>
            <sz val="9"/>
            <color indexed="81"/>
            <rFont val="Tahoma"/>
            <family val="2"/>
          </rPr>
          <t>y en el Campo</t>
        </r>
        <r>
          <rPr>
            <b/>
            <sz val="9"/>
            <color indexed="81"/>
            <rFont val="Tahoma"/>
            <family val="2"/>
          </rPr>
          <t xml:space="preserve"> Estado Dependencia </t>
        </r>
        <r>
          <rPr>
            <sz val="9"/>
            <color indexed="81"/>
            <rFont val="Tahoma"/>
            <family val="2"/>
          </rPr>
          <t xml:space="preserve">agregar el valor </t>
        </r>
        <r>
          <rPr>
            <b/>
            <sz val="9"/>
            <color indexed="81"/>
            <rFont val="Tahoma"/>
            <family val="2"/>
          </rPr>
          <t xml:space="preserve">Ingreso, Reingreso o Seguimiento.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34" authorId="4" shapeId="0" xr:uid="{71179707-85C7-46F3-B7EA-671BCDFBB328}">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VDI1 Ingreso PADPDS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Dependencia</t>
        </r>
        <r>
          <rPr>
            <sz val="9"/>
            <color indexed="81"/>
            <rFont val="Tahoma"/>
            <family val="2"/>
          </rPr>
          <t xml:space="preserve"> se selecione el valor </t>
        </r>
        <r>
          <rPr>
            <b/>
            <sz val="9"/>
            <color indexed="81"/>
            <rFont val="Tahoma"/>
            <family val="2"/>
          </rPr>
          <t xml:space="preserve">Moderada </t>
        </r>
        <r>
          <rPr>
            <sz val="9"/>
            <color indexed="81"/>
            <rFont val="Tahoma"/>
            <family val="2"/>
          </rPr>
          <t>y en el Campo</t>
        </r>
        <r>
          <rPr>
            <b/>
            <sz val="9"/>
            <color indexed="81"/>
            <rFont val="Tahoma"/>
            <family val="2"/>
          </rPr>
          <t xml:space="preserve"> Estado Dependencia  </t>
        </r>
        <r>
          <rPr>
            <sz val="9"/>
            <color indexed="81"/>
            <rFont val="Tahoma"/>
            <family val="2"/>
          </rPr>
          <t>agregar el valor</t>
        </r>
        <r>
          <rPr>
            <b/>
            <sz val="9"/>
            <color indexed="81"/>
            <rFont val="Tahoma"/>
            <family val="2"/>
          </rPr>
          <t xml:space="preserve"> Ingreso, Reingreso o Seguimiento.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35" authorId="4" shapeId="0" xr:uid="{25B2DECF-7500-49BE-8A01-3508B18BFC2D}">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t>
        </r>
        <r>
          <rPr>
            <b/>
            <sz val="9"/>
            <color indexed="81"/>
            <rFont val="Tahoma"/>
            <family val="2"/>
          </rPr>
          <t xml:space="preserve"> "Oncológico" </t>
        </r>
        <r>
          <rPr>
            <sz val="9"/>
            <color indexed="81"/>
            <rFont val="Tahoma"/>
            <family val="2"/>
          </rPr>
          <t xml:space="preserve">y en campo </t>
        </r>
        <r>
          <rPr>
            <b/>
            <sz val="9"/>
            <color indexed="81"/>
            <rFont val="Tahoma"/>
            <family val="2"/>
          </rPr>
          <t>Tipo de Dependencia</t>
        </r>
        <r>
          <rPr>
            <sz val="9"/>
            <color indexed="81"/>
            <rFont val="Tahoma"/>
            <family val="2"/>
          </rPr>
          <t xml:space="preserve"> en valor </t>
        </r>
        <r>
          <rPr>
            <b/>
            <sz val="9"/>
            <color indexed="81"/>
            <rFont val="Tahoma"/>
            <family val="2"/>
          </rPr>
          <t>Severa</t>
        </r>
        <r>
          <rPr>
            <sz val="9"/>
            <color indexed="81"/>
            <rFont val="Tahoma"/>
            <family val="2"/>
          </rPr>
          <t xml:space="preserve"> , además en el </t>
        </r>
        <r>
          <rPr>
            <b/>
            <sz val="9"/>
            <color indexed="81"/>
            <rFont val="Tahoma"/>
            <family val="2"/>
          </rPr>
          <t>Estado</t>
        </r>
        <r>
          <rPr>
            <sz val="9"/>
            <color indexed="81"/>
            <rFont val="Tahoma"/>
            <family val="2"/>
          </rPr>
          <t xml:space="preserve"> </t>
        </r>
        <r>
          <rPr>
            <b/>
            <sz val="9"/>
            <color indexed="81"/>
            <rFont val="Tahoma"/>
            <family val="2"/>
          </rPr>
          <t>Dependencia</t>
        </r>
        <r>
          <rPr>
            <sz val="9"/>
            <color indexed="81"/>
            <rFont val="Tahoma"/>
            <family val="2"/>
          </rPr>
          <t xml:space="preserve"> el Valor </t>
        </r>
        <r>
          <rPr>
            <b/>
            <sz val="9"/>
            <color indexed="81"/>
            <rFont val="Tahoma"/>
            <family val="2"/>
          </rPr>
          <t xml:space="preserve">Ingreso, Reingreso o Seguimiento.
</t>
        </r>
        <r>
          <rPr>
            <sz val="9"/>
            <color indexed="81"/>
            <rFont val="Tahoma"/>
            <family val="2"/>
          </rPr>
          <t>y Además en campo</t>
        </r>
        <r>
          <rPr>
            <b/>
            <sz val="9"/>
            <color indexed="81"/>
            <rFont val="Tahoma"/>
            <family val="2"/>
          </rPr>
          <t xml:space="preserve"> PADPDS</t>
        </r>
        <r>
          <rPr>
            <sz val="9"/>
            <color indexed="81"/>
            <rFont val="Tahoma"/>
            <family val="2"/>
          </rPr>
          <t xml:space="preserve"> el valor</t>
        </r>
        <r>
          <rPr>
            <b/>
            <sz val="9"/>
            <color indexed="81"/>
            <rFont val="Tahoma"/>
            <family val="2"/>
          </rPr>
          <t xml:space="preserve"> No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36" authorId="4" shapeId="0" xr:uid="{17DEDA52-14CD-431E-A7F1-9F370002EA1F}">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t>
        </r>
        <r>
          <rPr>
            <b/>
            <sz val="9"/>
            <color indexed="81"/>
            <rFont val="Tahoma"/>
            <family val="2"/>
          </rPr>
          <t xml:space="preserve"> "No Oncológico" </t>
        </r>
        <r>
          <rPr>
            <sz val="9"/>
            <color indexed="81"/>
            <rFont val="Tahoma"/>
            <family val="2"/>
          </rPr>
          <t xml:space="preserve"> y en campo </t>
        </r>
        <r>
          <rPr>
            <b/>
            <sz val="9"/>
            <color indexed="81"/>
            <rFont val="Tahoma"/>
            <family val="2"/>
          </rPr>
          <t xml:space="preserve">Tipo de Dependencia </t>
        </r>
        <r>
          <rPr>
            <sz val="9"/>
            <color indexed="81"/>
            <rFont val="Tahoma"/>
            <family val="2"/>
          </rPr>
          <t xml:space="preserve">en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 </t>
        </r>
        <r>
          <rPr>
            <b/>
            <sz val="9"/>
            <color indexed="81"/>
            <rFont val="Tahoma"/>
            <family val="2"/>
          </rPr>
          <t>Ingreso, Reingreso</t>
        </r>
        <r>
          <rPr>
            <sz val="9"/>
            <color indexed="81"/>
            <rFont val="Tahoma"/>
            <family val="2"/>
          </rPr>
          <t xml:space="preserve"> o </t>
        </r>
        <r>
          <rPr>
            <b/>
            <sz val="9"/>
            <color indexed="81"/>
            <rFont val="Tahoma"/>
            <family val="2"/>
          </rPr>
          <t xml:space="preserve">Seguimiento.
</t>
        </r>
        <r>
          <rPr>
            <sz val="9"/>
            <color indexed="81"/>
            <rFont val="Tahoma"/>
            <family val="2"/>
          </rPr>
          <t>y Además en campo</t>
        </r>
        <r>
          <rPr>
            <b/>
            <sz val="9"/>
            <color indexed="81"/>
            <rFont val="Tahoma"/>
            <family val="2"/>
          </rPr>
          <t xml:space="preserve"> PADPDS</t>
        </r>
        <r>
          <rPr>
            <sz val="9"/>
            <color indexed="81"/>
            <rFont val="Tahoma"/>
            <family val="2"/>
          </rPr>
          <t xml:space="preserve"> el valor</t>
        </r>
        <r>
          <rPr>
            <b/>
            <sz val="9"/>
            <color indexed="81"/>
            <rFont val="Tahoma"/>
            <family val="2"/>
          </rPr>
          <t xml:space="preserve"> No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37" authorId="4" shapeId="0" xr:uid="{BAA067C9-E0AC-4CC1-8C7E-E9517394C81C}">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t>
        </r>
        <r>
          <rPr>
            <sz val="9"/>
            <color indexed="81"/>
            <rFont val="Tahoma"/>
            <family val="2"/>
          </rPr>
          <t xml:space="preserve"> o</t>
        </r>
        <r>
          <rPr>
            <b/>
            <sz val="9"/>
            <color indexed="81"/>
            <rFont val="Tahoma"/>
            <family val="2"/>
          </rPr>
          <t xml:space="preserve"> "No Oncológico" </t>
        </r>
        <r>
          <rPr>
            <sz val="9"/>
            <color indexed="81"/>
            <rFont val="Tahoma"/>
            <family val="2"/>
          </rPr>
          <t xml:space="preserve"> y en campo</t>
        </r>
        <r>
          <rPr>
            <b/>
            <sz val="9"/>
            <color indexed="81"/>
            <rFont val="Tahoma"/>
            <family val="2"/>
          </rPr>
          <t xml:space="preserve"> Tipo de Dependencia</t>
        </r>
        <r>
          <rPr>
            <sz val="9"/>
            <color indexed="81"/>
            <rFont val="Tahoma"/>
            <family val="2"/>
          </rPr>
          <t xml:space="preserve"> en valor </t>
        </r>
        <r>
          <rPr>
            <b/>
            <sz val="9"/>
            <color indexed="81"/>
            <rFont val="Tahoma"/>
            <family val="2"/>
          </rPr>
          <t>Severa</t>
        </r>
        <r>
          <rPr>
            <sz val="9"/>
            <color indexed="81"/>
            <rFont val="Tahoma"/>
            <family val="2"/>
          </rPr>
          <t xml:space="preserve"> , además en el </t>
        </r>
        <r>
          <rPr>
            <b/>
            <sz val="9"/>
            <color indexed="81"/>
            <rFont val="Tahoma"/>
            <family val="2"/>
          </rPr>
          <t>Estado</t>
        </r>
        <r>
          <rPr>
            <sz val="9"/>
            <color indexed="81"/>
            <rFont val="Tahoma"/>
            <family val="2"/>
          </rPr>
          <t xml:space="preserve"> </t>
        </r>
        <r>
          <rPr>
            <b/>
            <sz val="9"/>
            <color indexed="81"/>
            <rFont val="Tahoma"/>
            <family val="2"/>
          </rPr>
          <t>Dependencia</t>
        </r>
        <r>
          <rPr>
            <sz val="9"/>
            <color indexed="81"/>
            <rFont val="Tahoma"/>
            <family val="2"/>
          </rPr>
          <t xml:space="preserve"> el Valor </t>
        </r>
        <r>
          <rPr>
            <b/>
            <sz val="9"/>
            <color indexed="81"/>
            <rFont val="Tahoma"/>
            <family val="2"/>
          </rPr>
          <t>Ingreso,</t>
        </r>
        <r>
          <rPr>
            <sz val="9"/>
            <color indexed="81"/>
            <rFont val="Tahoma"/>
            <family val="2"/>
          </rPr>
          <t xml:space="preserve"> </t>
        </r>
        <r>
          <rPr>
            <b/>
            <sz val="9"/>
            <color indexed="81"/>
            <rFont val="Tahoma"/>
            <family val="2"/>
          </rPr>
          <t>Reingreso</t>
        </r>
        <r>
          <rPr>
            <sz val="9"/>
            <color indexed="81"/>
            <rFont val="Tahoma"/>
            <family val="2"/>
          </rPr>
          <t xml:space="preserve"> o </t>
        </r>
        <r>
          <rPr>
            <b/>
            <sz val="9"/>
            <color indexed="81"/>
            <rFont val="Tahoma"/>
            <family val="2"/>
          </rPr>
          <t xml:space="preserve">Seguimiento.
</t>
        </r>
        <r>
          <rPr>
            <sz val="9"/>
            <color indexed="81"/>
            <rFont val="Tahoma"/>
            <family val="2"/>
          </rPr>
          <t xml:space="preserve">Además en sección </t>
        </r>
        <r>
          <rPr>
            <b/>
            <sz val="9"/>
            <color indexed="81"/>
            <rFont val="Tahoma"/>
            <family val="2"/>
          </rPr>
          <t xml:space="preserve"> ANTECEDENTES PERSONALES (Sujeto de cuidado) </t>
        </r>
        <r>
          <rPr>
            <sz val="9"/>
            <color indexed="81"/>
            <rFont val="Tahoma"/>
            <family val="2"/>
          </rPr>
          <t xml:space="preserve">en campo </t>
        </r>
        <r>
          <rPr>
            <b/>
            <sz val="9"/>
            <color indexed="81"/>
            <rFont val="Tahoma"/>
            <family val="2"/>
          </rPr>
          <t>Lesión por Presión</t>
        </r>
        <r>
          <rPr>
            <sz val="9"/>
            <color indexed="81"/>
            <rFont val="Tahoma"/>
            <family val="2"/>
          </rPr>
          <t xml:space="preserve"> el valor</t>
        </r>
        <r>
          <rPr>
            <b/>
            <sz val="9"/>
            <color indexed="81"/>
            <rFont val="Tahoma"/>
            <family val="2"/>
          </rPr>
          <t xml:space="preserve"> Si.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38" authorId="0" shapeId="0" xr:uid="{76BEC143-3013-4713-9FA5-66C12D605CF6}">
      <text>
        <r>
          <rPr>
            <sz val="10"/>
            <color indexed="81"/>
            <rFont val="Tahoma"/>
            <family val="2"/>
          </rPr>
          <t>Total de Pacientes en control en Programa Atención Domicliaria Pacientes Dependencia Severa, ya sea Oncologicos o No Oncologicos.</t>
        </r>
      </text>
    </comment>
    <comment ref="C39" authorId="4" shapeId="0" xr:uid="{00C84672-8D43-4569-92E2-A85306D6433A}">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t>
        </r>
        <r>
          <rPr>
            <b/>
            <sz val="9"/>
            <color indexed="81"/>
            <rFont val="Tahoma"/>
            <family val="2"/>
          </rPr>
          <t xml:space="preserve"> "Oncológico" </t>
        </r>
        <r>
          <rPr>
            <sz val="9"/>
            <color indexed="81"/>
            <rFont val="Tahoma"/>
            <family val="2"/>
          </rPr>
          <t xml:space="preserve">y en campo </t>
        </r>
        <r>
          <rPr>
            <b/>
            <sz val="9"/>
            <color indexed="81"/>
            <rFont val="Tahoma"/>
            <family val="2"/>
          </rPr>
          <t xml:space="preserve">Tipo de Dependencia </t>
        </r>
        <r>
          <rPr>
            <sz val="9"/>
            <color indexed="81"/>
            <rFont val="Tahoma"/>
            <family val="2"/>
          </rPr>
          <t xml:space="preserve">en valor </t>
        </r>
        <r>
          <rPr>
            <b/>
            <sz val="9"/>
            <color indexed="81"/>
            <rFont val="Tahoma"/>
            <family val="2"/>
          </rPr>
          <t>Severa ,</t>
        </r>
        <r>
          <rPr>
            <sz val="9"/>
            <color indexed="81"/>
            <rFont val="Tahoma"/>
            <family val="2"/>
          </rPr>
          <t xml:space="preserve"> además en el</t>
        </r>
        <r>
          <rPr>
            <b/>
            <sz val="9"/>
            <color indexed="81"/>
            <rFont val="Tahoma"/>
            <family val="2"/>
          </rPr>
          <t xml:space="preserve"> Estado Dependencia </t>
        </r>
        <r>
          <rPr>
            <sz val="9"/>
            <color indexed="81"/>
            <rFont val="Tahoma"/>
            <family val="2"/>
          </rPr>
          <t>el Valor</t>
        </r>
        <r>
          <rPr>
            <b/>
            <sz val="9"/>
            <color indexed="81"/>
            <rFont val="Tahoma"/>
            <family val="2"/>
          </rPr>
          <t xml:space="preserve"> Ingreso, Reingreso o Seguimiento.
</t>
        </r>
        <r>
          <rPr>
            <sz val="9"/>
            <color indexed="81"/>
            <rFont val="Tahoma"/>
            <family val="2"/>
          </rPr>
          <t>y Además en campo</t>
        </r>
        <r>
          <rPr>
            <b/>
            <sz val="9"/>
            <color indexed="81"/>
            <rFont val="Tahoma"/>
            <family val="2"/>
          </rPr>
          <t xml:space="preserve"> PADPDS</t>
        </r>
        <r>
          <rPr>
            <sz val="9"/>
            <color indexed="81"/>
            <rFont val="Tahoma"/>
            <family val="2"/>
          </rPr>
          <t xml:space="preserve"> el valor</t>
        </r>
        <r>
          <rPr>
            <b/>
            <sz val="9"/>
            <color indexed="81"/>
            <rFont val="Tahoma"/>
            <family val="2"/>
          </rPr>
          <t xml:space="preserve"> Sí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40" authorId="4" shapeId="0" xr:uid="{9EF4A4A9-B069-4F37-9870-121D4F072E88}">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en Formulario Clínico: 
</t>
        </r>
        <r>
          <rPr>
            <b/>
            <sz val="9"/>
            <color indexed="81"/>
            <rFont val="Tahoma"/>
            <family val="2"/>
          </rPr>
          <t xml:space="preserve">"Programa Dependencia, PADDS y CPU" </t>
        </r>
        <r>
          <rPr>
            <sz val="9"/>
            <color indexed="81"/>
            <rFont val="Tahoma"/>
            <family val="2"/>
          </rPr>
          <t xml:space="preserve">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t>
        </r>
        <r>
          <rPr>
            <b/>
            <sz val="9"/>
            <color indexed="81"/>
            <rFont val="Tahoma"/>
            <family val="2"/>
          </rPr>
          <t xml:space="preserve"> "No Oncológico" </t>
        </r>
        <r>
          <rPr>
            <sz val="9"/>
            <color indexed="81"/>
            <rFont val="Tahoma"/>
            <family val="2"/>
          </rPr>
          <t xml:space="preserve">y en campo </t>
        </r>
        <r>
          <rPr>
            <b/>
            <sz val="9"/>
            <color indexed="81"/>
            <rFont val="Tahoma"/>
            <family val="2"/>
          </rPr>
          <t xml:space="preserve">Tipo de Dependencia </t>
        </r>
        <r>
          <rPr>
            <sz val="9"/>
            <color indexed="81"/>
            <rFont val="Tahoma"/>
            <family val="2"/>
          </rPr>
          <t xml:space="preserve">en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t>
        </r>
        <r>
          <rPr>
            <b/>
            <sz val="9"/>
            <color indexed="81"/>
            <rFont val="Tahoma"/>
            <family val="2"/>
          </rPr>
          <t xml:space="preserve"> Ingreso, Reingreso o Seguimiento</t>
        </r>
        <r>
          <rPr>
            <sz val="9"/>
            <color indexed="81"/>
            <rFont val="Tahoma"/>
            <family val="2"/>
          </rPr>
          <t xml:space="preserve">.
</t>
        </r>
        <r>
          <rPr>
            <b/>
            <sz val="9"/>
            <color indexed="81"/>
            <rFont val="Tahoma"/>
            <family val="2"/>
          </rPr>
          <t xml:space="preserve">
</t>
        </r>
        <r>
          <rPr>
            <sz val="9"/>
            <color indexed="81"/>
            <rFont val="Tahoma"/>
            <family val="2"/>
          </rPr>
          <t>y Además en campo</t>
        </r>
        <r>
          <rPr>
            <b/>
            <sz val="9"/>
            <color indexed="81"/>
            <rFont val="Tahoma"/>
            <family val="2"/>
          </rPr>
          <t xml:space="preserve"> PADPDS</t>
        </r>
        <r>
          <rPr>
            <sz val="9"/>
            <color indexed="81"/>
            <rFont val="Tahoma"/>
            <family val="2"/>
          </rPr>
          <t xml:space="preserve"> el valor</t>
        </r>
        <r>
          <rPr>
            <b/>
            <sz val="9"/>
            <color indexed="81"/>
            <rFont val="Tahoma"/>
            <family val="2"/>
          </rPr>
          <t xml:space="preserve"> Sí.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41" authorId="4" shapeId="0" xr:uid="{9AE69B90-B5BE-4979-B24D-CD22AFECDDE6}">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t>
        </r>
        <r>
          <rPr>
            <sz val="9"/>
            <color indexed="81"/>
            <rFont val="Tahoma"/>
            <family val="2"/>
          </rPr>
          <t xml:space="preserve"> o</t>
        </r>
        <r>
          <rPr>
            <b/>
            <sz val="9"/>
            <color indexed="81"/>
            <rFont val="Tahoma"/>
            <family val="2"/>
          </rPr>
          <t xml:space="preserve"> "No Oncológico" </t>
        </r>
        <r>
          <rPr>
            <sz val="9"/>
            <color indexed="81"/>
            <rFont val="Tahoma"/>
            <family val="2"/>
          </rPr>
          <t>y en campo</t>
        </r>
        <r>
          <rPr>
            <b/>
            <sz val="9"/>
            <color indexed="81"/>
            <rFont val="Tahoma"/>
            <family val="2"/>
          </rPr>
          <t xml:space="preserve"> Tipo de Dependencia </t>
        </r>
        <r>
          <rPr>
            <sz val="9"/>
            <color indexed="81"/>
            <rFont val="Tahoma"/>
            <family val="2"/>
          </rPr>
          <t xml:space="preserve">en valor </t>
        </r>
        <r>
          <rPr>
            <b/>
            <sz val="9"/>
            <color indexed="81"/>
            <rFont val="Tahoma"/>
            <family val="2"/>
          </rPr>
          <t>Severa</t>
        </r>
        <r>
          <rPr>
            <sz val="9"/>
            <color indexed="81"/>
            <rFont val="Tahoma"/>
            <family val="2"/>
          </rPr>
          <t xml:space="preserve"> , además en el</t>
        </r>
        <r>
          <rPr>
            <b/>
            <sz val="9"/>
            <color indexed="81"/>
            <rFont val="Tahoma"/>
            <family val="2"/>
          </rPr>
          <t xml:space="preserve"> Estado Dependencia</t>
        </r>
        <r>
          <rPr>
            <sz val="9"/>
            <color indexed="81"/>
            <rFont val="Tahoma"/>
            <family val="2"/>
          </rPr>
          <t xml:space="preserve"> el Valor </t>
        </r>
        <r>
          <rPr>
            <b/>
            <sz val="9"/>
            <color indexed="81"/>
            <rFont val="Tahoma"/>
            <family val="2"/>
          </rPr>
          <t xml:space="preserve">Ingreso, Reingreso o Seguimiento </t>
        </r>
        <r>
          <rPr>
            <sz val="9"/>
            <color indexed="81"/>
            <rFont val="Tahoma"/>
            <family val="2"/>
          </rPr>
          <t>y tener registrado  en campo</t>
        </r>
        <r>
          <rPr>
            <b/>
            <sz val="9"/>
            <color indexed="81"/>
            <rFont val="Tahoma"/>
            <family val="2"/>
          </rPr>
          <t xml:space="preserve"> PADPDS</t>
        </r>
        <r>
          <rPr>
            <sz val="9"/>
            <color indexed="81"/>
            <rFont val="Tahoma"/>
            <family val="2"/>
          </rPr>
          <t xml:space="preserve"> el valor</t>
        </r>
        <r>
          <rPr>
            <b/>
            <sz val="9"/>
            <color indexed="81"/>
            <rFont val="Tahoma"/>
            <family val="2"/>
          </rPr>
          <t xml:space="preserve"> Sí.
</t>
        </r>
        <r>
          <rPr>
            <sz val="9"/>
            <color indexed="81"/>
            <rFont val="Tahoma"/>
            <family val="2"/>
          </rPr>
          <t xml:space="preserve">Además en sección </t>
        </r>
        <r>
          <rPr>
            <b/>
            <sz val="9"/>
            <color indexed="81"/>
            <rFont val="Tahoma"/>
            <family val="2"/>
          </rPr>
          <t xml:space="preserve"> ANTECEDENTES PERSONALES (Sujeto de cuidado) </t>
        </r>
        <r>
          <rPr>
            <sz val="9"/>
            <color indexed="81"/>
            <rFont val="Tahoma"/>
            <family val="2"/>
          </rPr>
          <t xml:space="preserve">en campo </t>
        </r>
        <r>
          <rPr>
            <b/>
            <sz val="9"/>
            <color indexed="81"/>
            <rFont val="Tahoma"/>
            <family val="2"/>
          </rPr>
          <t>Demencia?</t>
        </r>
        <r>
          <rPr>
            <sz val="9"/>
            <color indexed="81"/>
            <rFont val="Tahoma"/>
            <family val="2"/>
          </rPr>
          <t xml:space="preserve"> el valor</t>
        </r>
        <r>
          <rPr>
            <b/>
            <sz val="9"/>
            <color indexed="81"/>
            <rFont val="Tahoma"/>
            <family val="2"/>
          </rPr>
          <t xml:space="preserve"> Si.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42" authorId="4" shapeId="0" xr:uid="{734BC588-A0F7-4008-8ACA-A40633B41CC9}">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t>
        </r>
        <r>
          <rPr>
            <sz val="9"/>
            <color indexed="81"/>
            <rFont val="Tahoma"/>
            <family val="2"/>
          </rPr>
          <t xml:space="preserve"> o</t>
        </r>
        <r>
          <rPr>
            <b/>
            <sz val="9"/>
            <color indexed="81"/>
            <rFont val="Tahoma"/>
            <family val="2"/>
          </rPr>
          <t xml:space="preserve"> "No Oncológico" </t>
        </r>
        <r>
          <rPr>
            <sz val="9"/>
            <color indexed="81"/>
            <rFont val="Tahoma"/>
            <family val="2"/>
          </rPr>
          <t xml:space="preserve"> y en campo</t>
        </r>
        <r>
          <rPr>
            <b/>
            <sz val="9"/>
            <color indexed="81"/>
            <rFont val="Tahoma"/>
            <family val="2"/>
          </rPr>
          <t xml:space="preserve"> Tipo de Dependencia</t>
        </r>
        <r>
          <rPr>
            <sz val="9"/>
            <color indexed="81"/>
            <rFont val="Tahoma"/>
            <family val="2"/>
          </rPr>
          <t xml:space="preserve"> en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 </t>
        </r>
        <r>
          <rPr>
            <b/>
            <sz val="9"/>
            <color indexed="81"/>
            <rFont val="Tahoma"/>
            <family val="2"/>
          </rPr>
          <t xml:space="preserve">Ingreso, Reingreso </t>
        </r>
        <r>
          <rPr>
            <sz val="9"/>
            <color indexed="81"/>
            <rFont val="Tahoma"/>
            <family val="2"/>
          </rPr>
          <t xml:space="preserve">o </t>
        </r>
        <r>
          <rPr>
            <b/>
            <sz val="9"/>
            <color indexed="81"/>
            <rFont val="Tahoma"/>
            <family val="2"/>
          </rPr>
          <t>Seguimiento</t>
        </r>
        <r>
          <rPr>
            <sz val="9"/>
            <color indexed="81"/>
            <rFont val="Tahoma"/>
            <family val="2"/>
          </rPr>
          <t xml:space="preserve"> y tener registrado  en campo </t>
        </r>
        <r>
          <rPr>
            <b/>
            <sz val="9"/>
            <color indexed="81"/>
            <rFont val="Tahoma"/>
            <family val="2"/>
          </rPr>
          <t>PADPDS</t>
        </r>
        <r>
          <rPr>
            <sz val="9"/>
            <color indexed="81"/>
            <rFont val="Tahoma"/>
            <family val="2"/>
          </rPr>
          <t xml:space="preserve"> el valor </t>
        </r>
        <r>
          <rPr>
            <b/>
            <sz val="9"/>
            <color indexed="81"/>
            <rFont val="Tahoma"/>
            <family val="2"/>
          </rPr>
          <t xml:space="preserve">Sí.
</t>
        </r>
        <r>
          <rPr>
            <sz val="9"/>
            <color indexed="81"/>
            <rFont val="Tahoma"/>
            <family val="2"/>
          </rPr>
          <t xml:space="preserve">Además en sección </t>
        </r>
        <r>
          <rPr>
            <b/>
            <sz val="9"/>
            <color indexed="81"/>
            <rFont val="Tahoma"/>
            <family val="2"/>
          </rPr>
          <t xml:space="preserve"> ANTECEDENTES PERSONALES (Sujeto de cuidado) </t>
        </r>
        <r>
          <rPr>
            <sz val="9"/>
            <color indexed="81"/>
            <rFont val="Tahoma"/>
            <family val="2"/>
          </rPr>
          <t xml:space="preserve">en campo </t>
        </r>
        <r>
          <rPr>
            <b/>
            <sz val="9"/>
            <color indexed="81"/>
            <rFont val="Tahoma"/>
            <family val="2"/>
          </rPr>
          <t>Institucionalizada?</t>
        </r>
        <r>
          <rPr>
            <sz val="9"/>
            <color indexed="81"/>
            <rFont val="Tahoma"/>
            <family val="2"/>
          </rPr>
          <t xml:space="preserve"> el valor</t>
        </r>
        <r>
          <rPr>
            <b/>
            <sz val="9"/>
            <color indexed="81"/>
            <rFont val="Tahoma"/>
            <family val="2"/>
          </rPr>
          <t xml:space="preserve"> Si.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43" authorId="4" shapeId="0" xr:uid="{F2AD8289-721E-449B-8D37-1B06E28BCEF3}">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t>
        </r>
        <r>
          <rPr>
            <sz val="9"/>
            <color indexed="81"/>
            <rFont val="Tahoma"/>
            <family val="2"/>
          </rPr>
          <t xml:space="preserve"> o</t>
        </r>
        <r>
          <rPr>
            <b/>
            <sz val="9"/>
            <color indexed="81"/>
            <rFont val="Tahoma"/>
            <family val="2"/>
          </rPr>
          <t xml:space="preserve"> "No Oncológico" "</t>
        </r>
        <r>
          <rPr>
            <sz val="9"/>
            <color indexed="81"/>
            <rFont val="Tahoma"/>
            <family val="2"/>
          </rPr>
          <t xml:space="preserve"> y en campo </t>
        </r>
        <r>
          <rPr>
            <b/>
            <sz val="9"/>
            <color indexed="81"/>
            <rFont val="Tahoma"/>
            <family val="2"/>
          </rPr>
          <t>Tipo de Dependencia</t>
        </r>
        <r>
          <rPr>
            <sz val="9"/>
            <color indexed="81"/>
            <rFont val="Tahoma"/>
            <family val="2"/>
          </rPr>
          <t xml:space="preserve"> en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 </t>
        </r>
        <r>
          <rPr>
            <b/>
            <sz val="9"/>
            <color indexed="81"/>
            <rFont val="Tahoma"/>
            <family val="2"/>
          </rPr>
          <t>Ingreso, Reingreso</t>
        </r>
        <r>
          <rPr>
            <sz val="9"/>
            <color indexed="81"/>
            <rFont val="Tahoma"/>
            <family val="2"/>
          </rPr>
          <t xml:space="preserve"> o </t>
        </r>
        <r>
          <rPr>
            <b/>
            <sz val="9"/>
            <color indexed="81"/>
            <rFont val="Tahoma"/>
            <family val="2"/>
          </rPr>
          <t>Seguimiento</t>
        </r>
        <r>
          <rPr>
            <sz val="9"/>
            <color indexed="81"/>
            <rFont val="Tahoma"/>
            <family val="2"/>
          </rPr>
          <t xml:space="preserve"> y tener registrado  en campo </t>
        </r>
        <r>
          <rPr>
            <b/>
            <sz val="9"/>
            <color indexed="81"/>
            <rFont val="Tahoma"/>
            <family val="2"/>
          </rPr>
          <t>PADPDS</t>
        </r>
        <r>
          <rPr>
            <sz val="9"/>
            <color indexed="81"/>
            <rFont val="Tahoma"/>
            <family val="2"/>
          </rPr>
          <t xml:space="preserve"> el valor </t>
        </r>
        <r>
          <rPr>
            <b/>
            <sz val="9"/>
            <color indexed="81"/>
            <rFont val="Tahoma"/>
            <family val="2"/>
          </rPr>
          <t>Sí.</t>
        </r>
        <r>
          <rPr>
            <sz val="9"/>
            <color indexed="81"/>
            <rFont val="Tahoma"/>
            <family val="2"/>
          </rPr>
          <t xml:space="preserve">
</t>
        </r>
        <r>
          <rPr>
            <b/>
            <sz val="9"/>
            <color indexed="81"/>
            <rFont val="Tahoma"/>
            <family val="2"/>
          </rPr>
          <t xml:space="preserve">
</t>
        </r>
        <r>
          <rPr>
            <sz val="9"/>
            <color indexed="81"/>
            <rFont val="Tahoma"/>
            <family val="2"/>
          </rPr>
          <t xml:space="preserve">Además en sección </t>
        </r>
        <r>
          <rPr>
            <b/>
            <sz val="9"/>
            <color indexed="81"/>
            <rFont val="Tahoma"/>
            <family val="2"/>
          </rPr>
          <t xml:space="preserve"> ANTECEDENTES PERSONALES (Sujeto de cuidado) </t>
        </r>
        <r>
          <rPr>
            <sz val="9"/>
            <color indexed="81"/>
            <rFont val="Tahoma"/>
            <family val="2"/>
          </rPr>
          <t xml:space="preserve">en campo </t>
        </r>
        <r>
          <rPr>
            <b/>
            <sz val="9"/>
            <color indexed="81"/>
            <rFont val="Tahoma"/>
            <family val="2"/>
          </rPr>
          <t>Lesión por Presión</t>
        </r>
        <r>
          <rPr>
            <sz val="9"/>
            <color indexed="81"/>
            <rFont val="Tahoma"/>
            <family val="2"/>
          </rPr>
          <t xml:space="preserve"> el valor</t>
        </r>
        <r>
          <rPr>
            <b/>
            <sz val="9"/>
            <color indexed="81"/>
            <rFont val="Tahoma"/>
            <family val="2"/>
          </rPr>
          <t xml:space="preserve"> Si.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t>
        </r>
      </text>
    </comment>
    <comment ref="C44" authorId="4" shapeId="0" xr:uid="{3E137325-67BD-4D9D-820B-CC26A63D7646}">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t>
        </r>
        <r>
          <rPr>
            <sz val="9"/>
            <color indexed="81"/>
            <rFont val="Tahoma"/>
            <family val="2"/>
          </rPr>
          <t xml:space="preserve"> o</t>
        </r>
        <r>
          <rPr>
            <b/>
            <sz val="9"/>
            <color indexed="81"/>
            <rFont val="Tahoma"/>
            <family val="2"/>
          </rPr>
          <t xml:space="preserve"> "No Oncológico" </t>
        </r>
        <r>
          <rPr>
            <sz val="9"/>
            <color indexed="81"/>
            <rFont val="Tahoma"/>
            <family val="2"/>
          </rPr>
          <t xml:space="preserve">y en campo </t>
        </r>
        <r>
          <rPr>
            <b/>
            <sz val="9"/>
            <color indexed="81"/>
            <rFont val="Tahoma"/>
            <family val="2"/>
          </rPr>
          <t>Tipo de Dependencia</t>
        </r>
        <r>
          <rPr>
            <sz val="9"/>
            <color indexed="81"/>
            <rFont val="Tahoma"/>
            <family val="2"/>
          </rPr>
          <t xml:space="preserve"> en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 </t>
        </r>
        <r>
          <rPr>
            <b/>
            <sz val="9"/>
            <color indexed="81"/>
            <rFont val="Tahoma"/>
            <family val="2"/>
          </rPr>
          <t xml:space="preserve">Ingreso, Reingreso </t>
        </r>
        <r>
          <rPr>
            <sz val="9"/>
            <color indexed="81"/>
            <rFont val="Tahoma"/>
            <family val="2"/>
          </rPr>
          <t xml:space="preserve">o </t>
        </r>
        <r>
          <rPr>
            <b/>
            <sz val="9"/>
            <color indexed="81"/>
            <rFont val="Tahoma"/>
            <family val="2"/>
          </rPr>
          <t>Seguimiento</t>
        </r>
        <r>
          <rPr>
            <sz val="9"/>
            <color indexed="81"/>
            <rFont val="Tahoma"/>
            <family val="2"/>
          </rPr>
          <t xml:space="preserve"> y tener registrado  en campo </t>
        </r>
        <r>
          <rPr>
            <b/>
            <sz val="9"/>
            <color indexed="81"/>
            <rFont val="Tahoma"/>
            <family val="2"/>
          </rPr>
          <t>PADPDS</t>
        </r>
        <r>
          <rPr>
            <sz val="9"/>
            <color indexed="81"/>
            <rFont val="Tahoma"/>
            <family val="2"/>
          </rPr>
          <t xml:space="preserve"> el valor </t>
        </r>
        <r>
          <rPr>
            <b/>
            <sz val="9"/>
            <color indexed="81"/>
            <rFont val="Tahoma"/>
            <family val="2"/>
          </rPr>
          <t>Sí.</t>
        </r>
        <r>
          <rPr>
            <sz val="9"/>
            <color indexed="81"/>
            <rFont val="Tahoma"/>
            <family val="2"/>
          </rPr>
          <t xml:space="preserve">
</t>
        </r>
        <r>
          <rPr>
            <b/>
            <sz val="9"/>
            <color indexed="81"/>
            <rFont val="Tahoma"/>
            <family val="2"/>
          </rPr>
          <t xml:space="preserve">
</t>
        </r>
        <r>
          <rPr>
            <sz val="9"/>
            <color indexed="81"/>
            <rFont val="Tahoma"/>
            <family val="2"/>
          </rPr>
          <t xml:space="preserve">Además en sección </t>
        </r>
        <r>
          <rPr>
            <b/>
            <sz val="9"/>
            <color indexed="81"/>
            <rFont val="Tahoma"/>
            <family val="2"/>
          </rPr>
          <t xml:space="preserve"> ANTECEDENTES PERSONALES (Sujeto de cuidado) </t>
        </r>
        <r>
          <rPr>
            <sz val="9"/>
            <color indexed="81"/>
            <rFont val="Tahoma"/>
            <family val="2"/>
          </rPr>
          <t xml:space="preserve">en campo </t>
        </r>
        <r>
          <rPr>
            <b/>
            <sz val="9"/>
            <color indexed="81"/>
            <rFont val="Tahoma"/>
            <family val="2"/>
          </rPr>
          <t>Alimentación Enteral?</t>
        </r>
        <r>
          <rPr>
            <sz val="9"/>
            <color indexed="81"/>
            <rFont val="Tahoma"/>
            <family val="2"/>
          </rPr>
          <t xml:space="preserve"> el valor</t>
        </r>
        <r>
          <rPr>
            <b/>
            <sz val="9"/>
            <color indexed="81"/>
            <rFont val="Tahoma"/>
            <family val="2"/>
          </rPr>
          <t xml:space="preserve"> Si.
</t>
        </r>
        <r>
          <rPr>
            <sz val="9"/>
            <color indexed="81"/>
            <rFont val="Tahoma"/>
            <family val="2"/>
          </rPr>
          <t xml:space="preserve">
Además ingresar </t>
        </r>
        <r>
          <rPr>
            <b/>
            <sz val="9"/>
            <color indexed="81"/>
            <rFont val="Tahoma"/>
            <family val="2"/>
          </rPr>
          <t xml:space="preserve">Fecha Próximo Control </t>
        </r>
        <r>
          <rPr>
            <sz val="9"/>
            <color indexed="81"/>
            <rFont val="Tahoma"/>
            <family val="2"/>
          </rPr>
          <t>con fecha aproximada de su próxima</t>
        </r>
        <r>
          <rPr>
            <b/>
            <sz val="9"/>
            <color indexed="81"/>
            <rFont val="Tahoma"/>
            <family val="2"/>
          </rPr>
          <t xml:space="preserve"> citación.
</t>
        </r>
      </text>
    </comment>
    <comment ref="C45" authorId="3" shapeId="0" xr:uid="{3C7A5F54-4DDB-4232-B2CC-01006989B502}">
      <text>
        <r>
          <rPr>
            <sz val="9"/>
            <color indexed="81"/>
            <rFont val="Tahoma"/>
            <family val="2"/>
          </rPr>
          <t xml:space="preserve">Este dato aparecerá  luego de que en la atención registrada en </t>
        </r>
        <r>
          <rPr>
            <b/>
            <sz val="9"/>
            <color indexed="81"/>
            <rFont val="Tahoma"/>
            <family val="2"/>
          </rPr>
          <t xml:space="preserve">Módulo de Box/Pacientes citados ó Módulo Box/Agregar documento </t>
        </r>
        <r>
          <rPr>
            <sz val="9"/>
            <color indexed="81"/>
            <rFont val="Tahoma"/>
            <family val="2"/>
          </rPr>
          <t xml:space="preserve">a una atención en el Formulario Clínico: </t>
        </r>
        <r>
          <rPr>
            <b/>
            <sz val="9"/>
            <color indexed="81"/>
            <rFont val="Tahoma"/>
            <family val="2"/>
          </rPr>
          <t xml:space="preserve">
"Programa Dependencia, PADDS y CPU" </t>
        </r>
        <r>
          <rPr>
            <sz val="9"/>
            <color indexed="81"/>
            <rFont val="Tahoma"/>
            <family val="2"/>
          </rPr>
          <t>en la sección</t>
        </r>
        <r>
          <rPr>
            <b/>
            <sz val="9"/>
            <color indexed="81"/>
            <rFont val="Tahoma"/>
            <family val="2"/>
          </rPr>
          <t xml:space="preserve"> Sujeto de Cuidado </t>
        </r>
        <r>
          <rPr>
            <sz val="9"/>
            <color indexed="81"/>
            <rFont val="Tahoma"/>
            <family val="2"/>
          </rPr>
          <t>en campo</t>
        </r>
        <r>
          <rPr>
            <b/>
            <sz val="9"/>
            <color indexed="81"/>
            <rFont val="Tahoma"/>
            <family val="2"/>
          </rPr>
          <t xml:space="preserve"> Tipo de Paciente  </t>
        </r>
        <r>
          <rPr>
            <sz val="9"/>
            <color indexed="81"/>
            <rFont val="Tahoma"/>
            <family val="2"/>
          </rPr>
          <t xml:space="preserve">se registre el valor </t>
        </r>
        <r>
          <rPr>
            <b/>
            <sz val="9"/>
            <color indexed="81"/>
            <rFont val="Tahoma"/>
            <family val="2"/>
          </rPr>
          <t xml:space="preserve">"Oncológico" </t>
        </r>
        <r>
          <rPr>
            <sz val="9"/>
            <color indexed="81"/>
            <rFont val="Tahoma"/>
            <family val="2"/>
          </rPr>
          <t>y en campo Tipo de Dependencia en</t>
        </r>
        <r>
          <rPr>
            <b/>
            <sz val="9"/>
            <color indexed="81"/>
            <rFont val="Tahoma"/>
            <family val="2"/>
          </rPr>
          <t xml:space="preserve"> </t>
        </r>
        <r>
          <rPr>
            <sz val="9"/>
            <color indexed="81"/>
            <rFont val="Tahoma"/>
            <family val="2"/>
          </rPr>
          <t xml:space="preserve">valor </t>
        </r>
        <r>
          <rPr>
            <b/>
            <sz val="9"/>
            <color indexed="81"/>
            <rFont val="Tahoma"/>
            <family val="2"/>
          </rPr>
          <t>Leve, Moderada o Severa</t>
        </r>
        <r>
          <rPr>
            <sz val="9"/>
            <color indexed="81"/>
            <rFont val="Tahoma"/>
            <family val="2"/>
          </rPr>
          <t xml:space="preserve"> ,además en el </t>
        </r>
        <r>
          <rPr>
            <b/>
            <sz val="9"/>
            <color indexed="81"/>
            <rFont val="Tahoma"/>
            <family val="2"/>
          </rPr>
          <t xml:space="preserve">Estado Dependencia </t>
        </r>
        <r>
          <rPr>
            <sz val="9"/>
            <color indexed="81"/>
            <rFont val="Tahoma"/>
            <family val="2"/>
          </rPr>
          <t>el Valor</t>
        </r>
        <r>
          <rPr>
            <b/>
            <sz val="9"/>
            <color indexed="81"/>
            <rFont val="Tahoma"/>
            <family val="2"/>
          </rPr>
          <t xml:space="preserve"> Ingreso, Reingreso o Seguimiento. </t>
        </r>
        <r>
          <rPr>
            <sz val="9"/>
            <color indexed="81"/>
            <rFont val="Tahoma"/>
            <family val="2"/>
          </rPr>
          <t xml:space="preserve">En la sección </t>
        </r>
        <r>
          <rPr>
            <b/>
            <sz val="9"/>
            <color indexed="81"/>
            <rFont val="Tahoma"/>
            <family val="2"/>
          </rPr>
          <t>Programa de Cuidados Paliativos (CPU)</t>
        </r>
        <r>
          <rPr>
            <sz val="9"/>
            <color indexed="81"/>
            <rFont val="Tahoma"/>
            <family val="2"/>
          </rPr>
          <t xml:space="preserve"> en campo </t>
        </r>
        <r>
          <rPr>
            <b/>
            <sz val="9"/>
            <color indexed="81"/>
            <rFont val="Tahoma"/>
            <family val="2"/>
          </rPr>
          <t xml:space="preserve">Estado CPU </t>
        </r>
        <r>
          <rPr>
            <sz val="9"/>
            <color indexed="81"/>
            <rFont val="Tahoma"/>
            <family val="2"/>
          </rPr>
          <t xml:space="preserve">se registre el valor </t>
        </r>
        <r>
          <rPr>
            <b/>
            <sz val="9"/>
            <color indexed="81"/>
            <rFont val="Tahoma"/>
            <family val="2"/>
          </rPr>
          <t xml:space="preserve">"Ingreso" o "Seguimiento" </t>
        </r>
        <r>
          <rPr>
            <sz val="9"/>
            <color indexed="81"/>
            <rFont val="Tahoma"/>
            <family val="2"/>
          </rPr>
          <t xml:space="preserve">y en campo </t>
        </r>
        <r>
          <rPr>
            <b/>
            <sz val="9"/>
            <color indexed="81"/>
            <rFont val="Tahoma"/>
            <family val="2"/>
          </rPr>
          <t xml:space="preserve">Enfermedad Oncológica </t>
        </r>
        <r>
          <rPr>
            <sz val="9"/>
            <color indexed="81"/>
            <rFont val="Tahoma"/>
            <family val="2"/>
          </rPr>
          <t xml:space="preserve">el valor </t>
        </r>
        <r>
          <rPr>
            <b/>
            <sz val="9"/>
            <color indexed="81"/>
            <rFont val="Tahoma"/>
            <family val="2"/>
          </rPr>
          <t>Enfermedades Oncológicas Progresivas.
Además ingresar Fecha Próximo Control con fecha aproximada de su próxima citación.</t>
        </r>
      </text>
    </comment>
    <comment ref="C46" authorId="3" shapeId="0" xr:uid="{782F2641-C047-4CD3-AF9E-D0A9E8D1FC7C}">
      <text>
        <r>
          <rPr>
            <sz val="9"/>
            <color indexed="81"/>
            <rFont val="Tahoma"/>
            <family val="2"/>
          </rPr>
          <t xml:space="preserve">
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en el Formulario Clínico: 
</t>
        </r>
        <r>
          <rPr>
            <b/>
            <sz val="9"/>
            <color indexed="81"/>
            <rFont val="Tahoma"/>
            <family val="2"/>
          </rPr>
          <t xml:space="preserve">
"Programa Dependencia, PADDS y CPU"  </t>
        </r>
        <r>
          <rPr>
            <sz val="9"/>
            <color indexed="81"/>
            <rFont val="Tahoma"/>
            <family val="2"/>
          </rPr>
          <t>en la sección</t>
        </r>
        <r>
          <rPr>
            <b/>
            <sz val="9"/>
            <color indexed="81"/>
            <rFont val="Tahoma"/>
            <family val="2"/>
          </rPr>
          <t xml:space="preserve"> Sujeto de Cuidado</t>
        </r>
        <r>
          <rPr>
            <sz val="9"/>
            <color indexed="81"/>
            <rFont val="Tahoma"/>
            <family val="2"/>
          </rPr>
          <t xml:space="preserve"> en campo </t>
        </r>
        <r>
          <rPr>
            <b/>
            <sz val="9"/>
            <color indexed="81"/>
            <rFont val="Tahoma"/>
            <family val="2"/>
          </rPr>
          <t xml:space="preserve">Tipo de Paciente  </t>
        </r>
        <r>
          <rPr>
            <sz val="9"/>
            <color indexed="81"/>
            <rFont val="Tahoma"/>
            <family val="2"/>
          </rPr>
          <t xml:space="preserve">se registre el valor </t>
        </r>
        <r>
          <rPr>
            <b/>
            <sz val="9"/>
            <color indexed="81"/>
            <rFont val="Tahoma"/>
            <family val="2"/>
          </rPr>
          <t xml:space="preserve">"Oncológico" </t>
        </r>
        <r>
          <rPr>
            <sz val="9"/>
            <color indexed="81"/>
            <rFont val="Tahoma"/>
            <family val="2"/>
          </rPr>
          <t>y en campo</t>
        </r>
        <r>
          <rPr>
            <b/>
            <sz val="9"/>
            <color indexed="81"/>
            <rFont val="Tahoma"/>
            <family val="2"/>
          </rPr>
          <t xml:space="preserve"> Tipo de Dependencia </t>
        </r>
        <r>
          <rPr>
            <sz val="9"/>
            <color indexed="81"/>
            <rFont val="Tahoma"/>
            <family val="2"/>
          </rPr>
          <t xml:space="preserve">el valor </t>
        </r>
        <r>
          <rPr>
            <b/>
            <sz val="9"/>
            <color indexed="81"/>
            <rFont val="Tahoma"/>
            <family val="2"/>
          </rPr>
          <t xml:space="preserve">Leve, Moderada o Severa </t>
        </r>
        <r>
          <rPr>
            <sz val="9"/>
            <color indexed="81"/>
            <rFont val="Tahoma"/>
            <family val="2"/>
          </rPr>
          <t xml:space="preserve">,además en el </t>
        </r>
        <r>
          <rPr>
            <b/>
            <sz val="9"/>
            <color indexed="81"/>
            <rFont val="Tahoma"/>
            <family val="2"/>
          </rPr>
          <t>Estado Dependencia</t>
        </r>
        <r>
          <rPr>
            <sz val="9"/>
            <color indexed="81"/>
            <rFont val="Tahoma"/>
            <family val="2"/>
          </rPr>
          <t xml:space="preserve"> el Valor</t>
        </r>
        <r>
          <rPr>
            <b/>
            <sz val="9"/>
            <color indexed="81"/>
            <rFont val="Tahoma"/>
            <family val="2"/>
          </rPr>
          <t xml:space="preserve"> Ingreso, Reingreso o Seguimiento.</t>
        </r>
        <r>
          <rPr>
            <sz val="9"/>
            <color indexed="81"/>
            <rFont val="Tahoma"/>
            <family val="2"/>
          </rPr>
          <t xml:space="preserve"> En la sección  </t>
        </r>
        <r>
          <rPr>
            <b/>
            <sz val="9"/>
            <color indexed="81"/>
            <rFont val="Tahoma"/>
            <family val="2"/>
          </rPr>
          <t>Programa de Cuidados Paliativos (CPU)</t>
        </r>
        <r>
          <rPr>
            <sz val="9"/>
            <color indexed="81"/>
            <rFont val="Tahoma"/>
            <family val="2"/>
          </rPr>
          <t xml:space="preserve"> en campo </t>
        </r>
        <r>
          <rPr>
            <b/>
            <sz val="9"/>
            <color indexed="81"/>
            <rFont val="Tahoma"/>
            <family val="2"/>
          </rPr>
          <t>Estado CPU</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en campo </t>
        </r>
        <r>
          <rPr>
            <b/>
            <sz val="9"/>
            <color indexed="81"/>
            <rFont val="Tahoma"/>
            <family val="2"/>
          </rPr>
          <t xml:space="preserve">Enfermedad Oncológica </t>
        </r>
        <r>
          <rPr>
            <sz val="9"/>
            <color indexed="81"/>
            <rFont val="Tahoma"/>
            <family val="2"/>
          </rPr>
          <t>el valor</t>
        </r>
        <r>
          <rPr>
            <b/>
            <sz val="9"/>
            <color indexed="81"/>
            <rFont val="Tahoma"/>
            <family val="2"/>
          </rPr>
          <t xml:space="preserve"> Enfermedades Oncológicas no Progresivas.</t>
        </r>
        <r>
          <rPr>
            <sz val="9"/>
            <color indexed="81"/>
            <rFont val="Tahoma"/>
            <family val="2"/>
          </rPr>
          <t xml:space="preserve">
</t>
        </r>
        <r>
          <rPr>
            <b/>
            <sz val="9"/>
            <color indexed="81"/>
            <rFont val="Tahoma"/>
            <family val="2"/>
          </rPr>
          <t>Además ingresar Fecha Próximo Control con fecha aproximada de su próxima citación.</t>
        </r>
      </text>
    </comment>
    <comment ref="C47" authorId="3" shapeId="0" xr:uid="{02835557-1201-4ED0-8041-F7E037E4C104}">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en el Formulario Clínico: 
</t>
        </r>
        <r>
          <rPr>
            <b/>
            <sz val="9"/>
            <color indexed="81"/>
            <rFont val="Tahoma"/>
            <family val="2"/>
          </rPr>
          <t xml:space="preserve">"Programa Dependencia, PADDS y CPU" </t>
        </r>
        <r>
          <rPr>
            <sz val="9"/>
            <color indexed="81"/>
            <rFont val="Tahoma"/>
            <family val="2"/>
          </rPr>
          <t xml:space="preserve"> en la sección </t>
        </r>
        <r>
          <rPr>
            <b/>
            <sz val="9"/>
            <color indexed="81"/>
            <rFont val="Tahoma"/>
            <family val="2"/>
          </rPr>
          <t>Sujeto de Cuidado</t>
        </r>
        <r>
          <rPr>
            <sz val="9"/>
            <color indexed="81"/>
            <rFont val="Tahoma"/>
            <family val="2"/>
          </rPr>
          <t xml:space="preserve"> en campo</t>
        </r>
        <r>
          <rPr>
            <b/>
            <sz val="9"/>
            <color indexed="81"/>
            <rFont val="Tahoma"/>
            <family val="2"/>
          </rPr>
          <t xml:space="preserve"> Tipo de Paciente  </t>
        </r>
        <r>
          <rPr>
            <sz val="9"/>
            <color indexed="81"/>
            <rFont val="Tahoma"/>
            <family val="2"/>
          </rPr>
          <t xml:space="preserve">se registre el valor </t>
        </r>
        <r>
          <rPr>
            <b/>
            <sz val="9"/>
            <color indexed="81"/>
            <rFont val="Tahoma"/>
            <family val="2"/>
          </rPr>
          <t xml:space="preserve">"No Oncológico" </t>
        </r>
        <r>
          <rPr>
            <sz val="9"/>
            <color indexed="81"/>
            <rFont val="Tahoma"/>
            <family val="2"/>
          </rPr>
          <t xml:space="preserve">y en campo </t>
        </r>
        <r>
          <rPr>
            <b/>
            <sz val="9"/>
            <color indexed="81"/>
            <rFont val="Tahoma"/>
            <family val="2"/>
          </rPr>
          <t xml:space="preserve">Tipo de Dependencia </t>
        </r>
        <r>
          <rPr>
            <sz val="9"/>
            <color indexed="81"/>
            <rFont val="Tahoma"/>
            <family val="2"/>
          </rPr>
          <t>el valor</t>
        </r>
        <r>
          <rPr>
            <b/>
            <sz val="9"/>
            <color indexed="81"/>
            <rFont val="Tahoma"/>
            <family val="2"/>
          </rPr>
          <t xml:space="preserve"> Leve, Moderada o Severa</t>
        </r>
        <r>
          <rPr>
            <sz val="9"/>
            <color indexed="81"/>
            <rFont val="Tahoma"/>
            <family val="2"/>
          </rPr>
          <t xml:space="preserve"> ,además en el</t>
        </r>
        <r>
          <rPr>
            <b/>
            <sz val="9"/>
            <color indexed="81"/>
            <rFont val="Tahoma"/>
            <family val="2"/>
          </rPr>
          <t xml:space="preserve"> Estado Dependencia </t>
        </r>
        <r>
          <rPr>
            <sz val="9"/>
            <color indexed="81"/>
            <rFont val="Tahoma"/>
            <family val="2"/>
          </rPr>
          <t>el Valor</t>
        </r>
        <r>
          <rPr>
            <b/>
            <sz val="9"/>
            <color indexed="81"/>
            <rFont val="Tahoma"/>
            <family val="2"/>
          </rPr>
          <t xml:space="preserve"> Ingreso, Reingreso o Seguimiento.</t>
        </r>
        <r>
          <rPr>
            <sz val="9"/>
            <color indexed="81"/>
            <rFont val="Tahoma"/>
            <family val="2"/>
          </rPr>
          <t xml:space="preserve"> En la sección  </t>
        </r>
        <r>
          <rPr>
            <b/>
            <sz val="9"/>
            <color indexed="81"/>
            <rFont val="Tahoma"/>
            <family val="2"/>
          </rPr>
          <t>Programa de Cuidados Paliativos (CPU)</t>
        </r>
        <r>
          <rPr>
            <sz val="9"/>
            <color indexed="81"/>
            <rFont val="Tahoma"/>
            <family val="2"/>
          </rPr>
          <t xml:space="preserve"> en campo </t>
        </r>
        <r>
          <rPr>
            <b/>
            <sz val="9"/>
            <color indexed="81"/>
            <rFont val="Tahoma"/>
            <family val="2"/>
          </rPr>
          <t>Estado CPU</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en campo </t>
        </r>
        <r>
          <rPr>
            <b/>
            <sz val="9"/>
            <color indexed="81"/>
            <rFont val="Tahoma"/>
            <family val="2"/>
          </rPr>
          <t>Enfermedad No Oncológica</t>
        </r>
        <r>
          <rPr>
            <sz val="9"/>
            <color indexed="81"/>
            <rFont val="Tahoma"/>
            <family val="2"/>
          </rPr>
          <t xml:space="preserve"> se registre uno de los valores disponibles.
</t>
        </r>
        <r>
          <rPr>
            <b/>
            <sz val="9"/>
            <color indexed="81"/>
            <rFont val="Tahoma"/>
            <family val="2"/>
          </rPr>
          <t xml:space="preserve">
Además ingresar Fecha Próximo Control con fecha aproximada de su próxima citación.</t>
        </r>
      </text>
    </comment>
    <comment ref="E51" authorId="5" shapeId="0" xr:uid="{9256F9B6-427F-4A43-BBB7-91A2B1B24C9C}">
      <text>
        <r>
          <rPr>
            <sz val="9"/>
            <color indexed="81"/>
            <rFont val="Tahoma"/>
            <family val="2"/>
          </rPr>
          <t xml:space="preserve">Este dato aparecerá  luego de que en la atención registrada en Módulo de Box/Pacientes citados ó Módulo Box/Agregar documento a una atención; en Formulario Clínico: 
</t>
        </r>
        <r>
          <rPr>
            <b/>
            <sz val="9"/>
            <color indexed="81"/>
            <rFont val="Tahoma"/>
            <family val="2"/>
          </rPr>
          <t xml:space="preserve">"Programa Dependencia, PADDS y CPU" en la sección Sujeto de Cuidado en campo Tipo de Paciente  se registre el valor "Oncológico" o "No Oncológico" " y en campo Tipo de Dependencia en valor Severa , además en el Estado Dependencia el Valor Ingreso, Reingreso o Seguimiento
</t>
        </r>
        <r>
          <rPr>
            <sz val="9"/>
            <color indexed="81"/>
            <rFont val="Tahoma"/>
            <family val="2"/>
          </rPr>
          <t xml:space="preserve">
y Además en campo PADPDS el valor Sí o NO.
Además en la Sección </t>
        </r>
        <r>
          <rPr>
            <b/>
            <sz val="9"/>
            <color indexed="81"/>
            <rFont val="Tahoma"/>
            <family val="2"/>
          </rPr>
          <t>Cuidado</t>
        </r>
        <r>
          <rPr>
            <sz val="9"/>
            <color indexed="81"/>
            <rFont val="Tahoma"/>
            <family val="2"/>
          </rPr>
          <t xml:space="preserve">r seleccionar en Campo </t>
        </r>
        <r>
          <rPr>
            <b/>
            <sz val="9"/>
            <color indexed="81"/>
            <rFont val="Tahoma"/>
            <family val="2"/>
          </rPr>
          <t>Tiene Cuidador</t>
        </r>
        <r>
          <rPr>
            <sz val="9"/>
            <color indexed="81"/>
            <rFont val="Tahoma"/>
            <family val="2"/>
          </rPr>
          <t xml:space="preserve"> el valo</t>
        </r>
        <r>
          <rPr>
            <b/>
            <sz val="9"/>
            <color indexed="81"/>
            <rFont val="Tahoma"/>
            <family val="2"/>
          </rPr>
          <t>r Sí</t>
        </r>
        <r>
          <rPr>
            <sz val="9"/>
            <color indexed="81"/>
            <rFont val="Tahoma"/>
            <family val="2"/>
          </rPr>
          <t xml:space="preserve">
y en el campo  </t>
        </r>
        <r>
          <rPr>
            <b/>
            <sz val="9"/>
            <color indexed="81"/>
            <rFont val="Tahoma"/>
            <family val="2"/>
          </rPr>
          <t>"Cuidador es Capacitado por el Programa"</t>
        </r>
        <r>
          <rPr>
            <sz val="9"/>
            <color indexed="81"/>
            <rFont val="Tahoma"/>
            <family val="2"/>
          </rPr>
          <t xml:space="preserve"> tenga el valor </t>
        </r>
        <r>
          <rPr>
            <b/>
            <sz val="9"/>
            <color indexed="81"/>
            <rFont val="Tahoma"/>
            <family val="2"/>
          </rPr>
          <t>"SI"</t>
        </r>
        <r>
          <rPr>
            <sz val="9"/>
            <color indexed="81"/>
            <rFont val="Tahoma"/>
            <family val="2"/>
          </rPr>
          <t xml:space="preserve">
Además, </t>
        </r>
        <r>
          <rPr>
            <b/>
            <sz val="9"/>
            <color indexed="81"/>
            <rFont val="Tahoma"/>
            <family val="2"/>
          </rPr>
          <t xml:space="preserve">informar la fecha aproximada de su proximo control.
</t>
        </r>
      </text>
    </comment>
    <comment ref="F51" authorId="5" shapeId="0" xr:uid="{31617BCC-7BF6-4C79-8545-C3EEC3BC3494}">
      <text>
        <r>
          <rPr>
            <sz val="9"/>
            <color indexed="81"/>
            <rFont val="Tahoma"/>
            <family val="2"/>
          </rPr>
          <t xml:space="preserve">Este dato aparecerá  luego de que en la atención registrada en Módulo de Box/Pacientes citados ó Módulo Box/Agregar documento a una atención;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Tipo de Paciente</t>
        </r>
        <r>
          <rPr>
            <sz val="9"/>
            <color indexed="81"/>
            <rFont val="Tahoma"/>
            <family val="2"/>
          </rPr>
          <t xml:space="preserve"> se registre el valor </t>
        </r>
        <r>
          <rPr>
            <b/>
            <sz val="9"/>
            <color indexed="81"/>
            <rFont val="Tahoma"/>
            <family val="2"/>
          </rPr>
          <t>"Oncológico" o "No Oncológico"</t>
        </r>
        <r>
          <rPr>
            <sz val="9"/>
            <color indexed="81"/>
            <rFont val="Tahoma"/>
            <family val="2"/>
          </rPr>
          <t xml:space="preserve">  y en campo </t>
        </r>
        <r>
          <rPr>
            <b/>
            <sz val="9"/>
            <color indexed="81"/>
            <rFont val="Tahoma"/>
            <family val="2"/>
          </rPr>
          <t xml:space="preserve">Tipo de Dependencia </t>
        </r>
        <r>
          <rPr>
            <sz val="9"/>
            <color indexed="81"/>
            <rFont val="Tahoma"/>
            <family val="2"/>
          </rPr>
          <t xml:space="preserve">en valor </t>
        </r>
        <r>
          <rPr>
            <b/>
            <sz val="9"/>
            <color indexed="81"/>
            <rFont val="Tahoma"/>
            <family val="2"/>
          </rPr>
          <t>Severa</t>
        </r>
        <r>
          <rPr>
            <sz val="9"/>
            <color indexed="81"/>
            <rFont val="Tahoma"/>
            <family val="2"/>
          </rPr>
          <t xml:space="preserve"> , además en el </t>
        </r>
        <r>
          <rPr>
            <b/>
            <sz val="9"/>
            <color indexed="81"/>
            <rFont val="Tahoma"/>
            <family val="2"/>
          </rPr>
          <t>Estado</t>
        </r>
        <r>
          <rPr>
            <sz val="9"/>
            <color indexed="81"/>
            <rFont val="Tahoma"/>
            <family val="2"/>
          </rPr>
          <t xml:space="preserve"> </t>
        </r>
        <r>
          <rPr>
            <b/>
            <sz val="9"/>
            <color indexed="81"/>
            <rFont val="Tahoma"/>
            <family val="2"/>
          </rPr>
          <t>Dependencia</t>
        </r>
        <r>
          <rPr>
            <sz val="9"/>
            <color indexed="81"/>
            <rFont val="Tahoma"/>
            <family val="2"/>
          </rPr>
          <t xml:space="preserve"> el Valor </t>
        </r>
        <r>
          <rPr>
            <b/>
            <sz val="9"/>
            <color indexed="81"/>
            <rFont val="Tahoma"/>
            <family val="2"/>
          </rPr>
          <t>Ingreso,</t>
        </r>
        <r>
          <rPr>
            <sz val="9"/>
            <color indexed="81"/>
            <rFont val="Tahoma"/>
            <family val="2"/>
          </rPr>
          <t xml:space="preserve"> </t>
        </r>
        <r>
          <rPr>
            <b/>
            <sz val="9"/>
            <color indexed="81"/>
            <rFont val="Tahoma"/>
            <family val="2"/>
          </rPr>
          <t>Reingreso</t>
        </r>
        <r>
          <rPr>
            <sz val="9"/>
            <color indexed="81"/>
            <rFont val="Tahoma"/>
            <family val="2"/>
          </rPr>
          <t xml:space="preserve"> o </t>
        </r>
        <r>
          <rPr>
            <b/>
            <sz val="9"/>
            <color indexed="81"/>
            <rFont val="Tahoma"/>
            <family val="2"/>
          </rPr>
          <t>Seguimiento</t>
        </r>
        <r>
          <rPr>
            <sz val="9"/>
            <color indexed="81"/>
            <rFont val="Tahoma"/>
            <family val="2"/>
          </rPr>
          <t xml:space="preserve">
y Además en campo </t>
        </r>
        <r>
          <rPr>
            <b/>
            <sz val="9"/>
            <color indexed="81"/>
            <rFont val="Tahoma"/>
            <family val="2"/>
          </rPr>
          <t>PADPDS</t>
        </r>
        <r>
          <rPr>
            <sz val="9"/>
            <color indexed="81"/>
            <rFont val="Tahoma"/>
            <family val="2"/>
          </rPr>
          <t xml:space="preserve"> el valor </t>
        </r>
        <r>
          <rPr>
            <b/>
            <sz val="9"/>
            <color indexed="81"/>
            <rFont val="Tahoma"/>
            <family val="2"/>
          </rPr>
          <t>Sí o No</t>
        </r>
        <r>
          <rPr>
            <sz val="9"/>
            <color indexed="81"/>
            <rFont val="Tahoma"/>
            <family val="2"/>
          </rPr>
          <t xml:space="preserve">
Además en la Sección </t>
        </r>
        <r>
          <rPr>
            <b/>
            <sz val="9"/>
            <color indexed="81"/>
            <rFont val="Tahoma"/>
            <family val="2"/>
          </rPr>
          <t>Cuidador</t>
        </r>
        <r>
          <rPr>
            <sz val="9"/>
            <color indexed="81"/>
            <rFont val="Tahoma"/>
            <family val="2"/>
          </rPr>
          <t xml:space="preserve"> seleccionar en Campo </t>
        </r>
        <r>
          <rPr>
            <b/>
            <sz val="9"/>
            <color indexed="81"/>
            <rFont val="Tahoma"/>
            <family val="2"/>
          </rPr>
          <t>Tiene Cuidador</t>
        </r>
        <r>
          <rPr>
            <sz val="9"/>
            <color indexed="81"/>
            <rFont val="Tahoma"/>
            <family val="2"/>
          </rPr>
          <t xml:space="preserve"> el valor </t>
        </r>
        <r>
          <rPr>
            <b/>
            <sz val="9"/>
            <color indexed="81"/>
            <rFont val="Tahoma"/>
            <family val="2"/>
          </rPr>
          <t>Sí</t>
        </r>
        <r>
          <rPr>
            <sz val="9"/>
            <color indexed="81"/>
            <rFont val="Tahoma"/>
            <family val="2"/>
          </rPr>
          <t xml:space="preserve">
y en el campo </t>
        </r>
        <r>
          <rPr>
            <b/>
            <sz val="9"/>
            <color indexed="81"/>
            <rFont val="Tahoma"/>
            <family val="2"/>
          </rPr>
          <t xml:space="preserve"> ""Control Preventivo o Crónico vigente del Cuidador"</t>
        </r>
        <r>
          <rPr>
            <sz val="9"/>
            <color indexed="81"/>
            <rFont val="Tahoma"/>
            <family val="2"/>
          </rPr>
          <t xml:space="preserve"> tenga el valor </t>
        </r>
        <r>
          <rPr>
            <b/>
            <sz val="9"/>
            <color indexed="81"/>
            <rFont val="Tahoma"/>
            <family val="2"/>
          </rPr>
          <t>"SI"</t>
        </r>
        <r>
          <rPr>
            <sz val="9"/>
            <color indexed="81"/>
            <rFont val="Tahoma"/>
            <family val="2"/>
          </rPr>
          <t xml:space="preserve">
Además, informar la fecha aproximada de su proximo control.
</t>
        </r>
        <r>
          <rPr>
            <b/>
            <sz val="9"/>
            <color indexed="81"/>
            <rFont val="Tahoma"/>
            <family val="2"/>
          </rPr>
          <t xml:space="preserve">
</t>
        </r>
      </text>
    </comment>
    <comment ref="G51" authorId="3" shapeId="0" xr:uid="{EA3CA065-5E87-4BD5-83BB-374094A6CCEA}">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en Formulario Clínico:</t>
        </r>
        <r>
          <rPr>
            <b/>
            <sz val="9"/>
            <color indexed="81"/>
            <rFont val="Tahoma"/>
            <family val="2"/>
          </rPr>
          <t xml:space="preserve"> 
"Programa Dependencia, PADDS y CPU" </t>
        </r>
        <r>
          <rPr>
            <sz val="9"/>
            <color indexed="81"/>
            <rFont val="Tahoma"/>
            <family val="2"/>
          </rPr>
          <t xml:space="preserve">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 xml:space="preserve">Tipo de Paciente </t>
        </r>
        <r>
          <rPr>
            <sz val="9"/>
            <color indexed="81"/>
            <rFont val="Tahoma"/>
            <family val="2"/>
          </rPr>
          <t>se registre el valor</t>
        </r>
        <r>
          <rPr>
            <b/>
            <sz val="9"/>
            <color indexed="81"/>
            <rFont val="Tahoma"/>
            <family val="2"/>
          </rPr>
          <t xml:space="preserve"> "Oncológico" o "No Oncológico"</t>
        </r>
        <r>
          <rPr>
            <sz val="9"/>
            <color indexed="81"/>
            <rFont val="Tahoma"/>
            <family val="2"/>
          </rPr>
          <t xml:space="preserve">  y en campo</t>
        </r>
        <r>
          <rPr>
            <b/>
            <sz val="9"/>
            <color indexed="81"/>
            <rFont val="Tahoma"/>
            <family val="2"/>
          </rPr>
          <t xml:space="preserve"> Tipo de Dependencia en valor Severa , </t>
        </r>
        <r>
          <rPr>
            <sz val="9"/>
            <color indexed="81"/>
            <rFont val="Tahoma"/>
            <family val="2"/>
          </rPr>
          <t>además en el</t>
        </r>
        <r>
          <rPr>
            <b/>
            <sz val="9"/>
            <color indexed="81"/>
            <rFont val="Tahoma"/>
            <family val="2"/>
          </rPr>
          <t xml:space="preserve"> Estado Dependencia</t>
        </r>
        <r>
          <rPr>
            <sz val="9"/>
            <color indexed="81"/>
            <rFont val="Tahoma"/>
            <family val="2"/>
          </rPr>
          <t xml:space="preserve"> el Valor</t>
        </r>
        <r>
          <rPr>
            <b/>
            <sz val="9"/>
            <color indexed="81"/>
            <rFont val="Tahoma"/>
            <family val="2"/>
          </rPr>
          <t xml:space="preserve"> Ingreso, Reingreso o Seguimiento
</t>
        </r>
        <r>
          <rPr>
            <sz val="9"/>
            <color indexed="81"/>
            <rFont val="Tahoma"/>
            <family val="2"/>
          </rPr>
          <t xml:space="preserve">y Además en campo </t>
        </r>
        <r>
          <rPr>
            <b/>
            <sz val="9"/>
            <color indexed="81"/>
            <rFont val="Tahoma"/>
            <family val="2"/>
          </rPr>
          <t xml:space="preserve">PADPDS </t>
        </r>
        <r>
          <rPr>
            <sz val="9"/>
            <color indexed="81"/>
            <rFont val="Tahoma"/>
            <family val="2"/>
          </rPr>
          <t>el valor</t>
        </r>
        <r>
          <rPr>
            <b/>
            <sz val="9"/>
            <color indexed="81"/>
            <rFont val="Tahoma"/>
            <family val="2"/>
          </rPr>
          <t xml:space="preserve"> Sí o No
</t>
        </r>
        <r>
          <rPr>
            <sz val="9"/>
            <color indexed="81"/>
            <rFont val="Tahoma"/>
            <family val="2"/>
          </rPr>
          <t>Además en la Sección</t>
        </r>
        <r>
          <rPr>
            <b/>
            <sz val="9"/>
            <color indexed="81"/>
            <rFont val="Tahoma"/>
            <family val="2"/>
          </rPr>
          <t xml:space="preserve"> Cuidador </t>
        </r>
        <r>
          <rPr>
            <sz val="9"/>
            <color indexed="81"/>
            <rFont val="Tahoma"/>
            <family val="2"/>
          </rPr>
          <t>seleccionar en</t>
        </r>
        <r>
          <rPr>
            <b/>
            <sz val="9"/>
            <color indexed="81"/>
            <rFont val="Tahoma"/>
            <family val="2"/>
          </rPr>
          <t xml:space="preserve"> </t>
        </r>
        <r>
          <rPr>
            <sz val="9"/>
            <color indexed="81"/>
            <rFont val="Tahoma"/>
            <family val="2"/>
          </rPr>
          <t>Campo</t>
        </r>
        <r>
          <rPr>
            <b/>
            <sz val="9"/>
            <color indexed="81"/>
            <rFont val="Tahoma"/>
            <family val="2"/>
          </rPr>
          <t xml:space="preserve"> Tiene Cuidador </t>
        </r>
        <r>
          <rPr>
            <sz val="9"/>
            <color indexed="81"/>
            <rFont val="Tahoma"/>
            <family val="2"/>
          </rPr>
          <t>el valor</t>
        </r>
        <r>
          <rPr>
            <b/>
            <sz val="9"/>
            <color indexed="81"/>
            <rFont val="Tahoma"/>
            <family val="2"/>
          </rPr>
          <t xml:space="preserve"> Sí
</t>
        </r>
        <r>
          <rPr>
            <sz val="9"/>
            <color indexed="81"/>
            <rFont val="Tahoma"/>
            <family val="2"/>
          </rPr>
          <t xml:space="preserve">y en el campo </t>
        </r>
        <r>
          <rPr>
            <b/>
            <sz val="9"/>
            <color indexed="81"/>
            <rFont val="Tahoma"/>
            <family val="2"/>
          </rPr>
          <t xml:space="preserve"> "Cuidador con Condiciones Crónicas en Control en Centro de Salud" </t>
        </r>
        <r>
          <rPr>
            <sz val="9"/>
            <color indexed="81"/>
            <rFont val="Tahoma"/>
            <family val="2"/>
          </rPr>
          <t xml:space="preserve">tenga el valor "SI"
</t>
        </r>
        <r>
          <rPr>
            <b/>
            <sz val="9"/>
            <color indexed="81"/>
            <rFont val="Tahoma"/>
            <family val="2"/>
          </rPr>
          <t xml:space="preserve">
Además, informar la fecha aproximada de su proximo control.
</t>
        </r>
      </text>
    </comment>
    <comment ref="H51" authorId="5" shapeId="0" xr:uid="{66FA0E30-649F-4A40-925B-CF17EADCF330}">
      <text>
        <r>
          <rPr>
            <sz val="9"/>
            <color indexed="81"/>
            <rFont val="Tahoma"/>
            <family val="2"/>
          </rPr>
          <t xml:space="preserve">Este dato aparecerá  luego de que en la atención registrada en Módulo de Box/Pacientes citados ó Módulo Box/Agregar documento a una atención; en Formulario Clínico: 
</t>
        </r>
        <r>
          <rPr>
            <b/>
            <sz val="9"/>
            <color indexed="81"/>
            <rFont val="Tahoma"/>
            <family val="2"/>
          </rPr>
          <t xml:space="preserve">- "Programa Dependencia, PADDS y CPU" </t>
        </r>
        <r>
          <rPr>
            <sz val="9"/>
            <color indexed="81"/>
            <rFont val="Tahoma"/>
            <family val="2"/>
          </rPr>
          <t>en la sección</t>
        </r>
        <r>
          <rPr>
            <b/>
            <sz val="9"/>
            <color indexed="81"/>
            <rFont val="Tahoma"/>
            <family val="2"/>
          </rPr>
          <t xml:space="preserve"> Sujeto de Cuidado</t>
        </r>
        <r>
          <rPr>
            <sz val="9"/>
            <color indexed="81"/>
            <rFont val="Tahoma"/>
            <family val="2"/>
          </rPr>
          <t xml:space="preserve"> en campo </t>
        </r>
        <r>
          <rPr>
            <b/>
            <sz val="9"/>
            <color indexed="81"/>
            <rFont val="Tahoma"/>
            <family val="2"/>
          </rPr>
          <t xml:space="preserve">Tipo de Paciente </t>
        </r>
        <r>
          <rPr>
            <sz val="9"/>
            <color indexed="81"/>
            <rFont val="Tahoma"/>
            <family val="2"/>
          </rPr>
          <t xml:space="preserve">se registre el valor </t>
        </r>
        <r>
          <rPr>
            <b/>
            <sz val="9"/>
            <color indexed="81"/>
            <rFont val="Tahoma"/>
            <family val="2"/>
          </rPr>
          <t xml:space="preserve">"Oncológico" o "No Oncológico" </t>
        </r>
        <r>
          <rPr>
            <sz val="9"/>
            <color indexed="81"/>
            <rFont val="Tahoma"/>
            <family val="2"/>
          </rPr>
          <t xml:space="preserve"> y en campo</t>
        </r>
        <r>
          <rPr>
            <b/>
            <sz val="9"/>
            <color indexed="81"/>
            <rFont val="Tahoma"/>
            <family val="2"/>
          </rPr>
          <t xml:space="preserve"> Tipo de Dependencia </t>
        </r>
        <r>
          <rPr>
            <sz val="9"/>
            <color indexed="81"/>
            <rFont val="Tahoma"/>
            <family val="2"/>
          </rPr>
          <t>en valor</t>
        </r>
        <r>
          <rPr>
            <b/>
            <sz val="9"/>
            <color indexed="81"/>
            <rFont val="Tahoma"/>
            <family val="2"/>
          </rPr>
          <t xml:space="preserve"> Severa , </t>
        </r>
        <r>
          <rPr>
            <sz val="9"/>
            <color indexed="81"/>
            <rFont val="Tahoma"/>
            <family val="2"/>
          </rPr>
          <t xml:space="preserve">además en el </t>
        </r>
        <r>
          <rPr>
            <b/>
            <sz val="9"/>
            <color indexed="81"/>
            <rFont val="Tahoma"/>
            <family val="2"/>
          </rPr>
          <t xml:space="preserve">Estado Dependencia </t>
        </r>
        <r>
          <rPr>
            <sz val="9"/>
            <color indexed="81"/>
            <rFont val="Tahoma"/>
            <family val="2"/>
          </rPr>
          <t xml:space="preserve">el Valor </t>
        </r>
        <r>
          <rPr>
            <b/>
            <sz val="9"/>
            <color indexed="81"/>
            <rFont val="Tahoma"/>
            <family val="2"/>
          </rPr>
          <t>Ingreso, Reingreso o Seguimiento</t>
        </r>
        <r>
          <rPr>
            <sz val="9"/>
            <color indexed="81"/>
            <rFont val="Tahoma"/>
            <family val="2"/>
          </rPr>
          <t xml:space="preserve">
y Además en campo </t>
        </r>
        <r>
          <rPr>
            <b/>
            <sz val="9"/>
            <color indexed="81"/>
            <rFont val="Tahoma"/>
            <family val="2"/>
          </rPr>
          <t>PADPDS</t>
        </r>
        <r>
          <rPr>
            <sz val="9"/>
            <color indexed="81"/>
            <rFont val="Tahoma"/>
            <family val="2"/>
          </rPr>
          <t xml:space="preserve"> el valor </t>
        </r>
        <r>
          <rPr>
            <b/>
            <sz val="9"/>
            <color indexed="81"/>
            <rFont val="Tahoma"/>
            <family val="2"/>
          </rPr>
          <t>Sí o No</t>
        </r>
        <r>
          <rPr>
            <sz val="9"/>
            <color indexed="81"/>
            <rFont val="Tahoma"/>
            <family val="2"/>
          </rPr>
          <t xml:space="preserve">
Además en la Sección </t>
        </r>
        <r>
          <rPr>
            <b/>
            <sz val="9"/>
            <color indexed="81"/>
            <rFont val="Tahoma"/>
            <family val="2"/>
          </rPr>
          <t>Cuidador</t>
        </r>
        <r>
          <rPr>
            <sz val="9"/>
            <color indexed="81"/>
            <rFont val="Tahoma"/>
            <family val="2"/>
          </rPr>
          <t xml:space="preserve"> seleccionar en Campo</t>
        </r>
        <r>
          <rPr>
            <b/>
            <sz val="9"/>
            <color indexed="81"/>
            <rFont val="Tahoma"/>
            <family val="2"/>
          </rPr>
          <t xml:space="preserve"> Tiene Cuidador </t>
        </r>
        <r>
          <rPr>
            <sz val="9"/>
            <color indexed="81"/>
            <rFont val="Tahoma"/>
            <family val="2"/>
          </rPr>
          <t xml:space="preserve">el valor </t>
        </r>
        <r>
          <rPr>
            <b/>
            <sz val="9"/>
            <color indexed="81"/>
            <rFont val="Tahoma"/>
            <family val="2"/>
          </rPr>
          <t>Sí</t>
        </r>
        <r>
          <rPr>
            <sz val="9"/>
            <color indexed="81"/>
            <rFont val="Tahoma"/>
            <family val="2"/>
          </rPr>
          <t xml:space="preserve">
y en el campo  </t>
        </r>
        <r>
          <rPr>
            <b/>
            <sz val="9"/>
            <color indexed="81"/>
            <rFont val="Tahoma"/>
            <family val="2"/>
          </rPr>
          <t>"Cuidador(a) Remunerado(a)?"</t>
        </r>
        <r>
          <rPr>
            <sz val="9"/>
            <color indexed="81"/>
            <rFont val="Tahoma"/>
            <family val="2"/>
          </rPr>
          <t xml:space="preserve"> tenga el valor </t>
        </r>
        <r>
          <rPr>
            <b/>
            <sz val="9"/>
            <color indexed="81"/>
            <rFont val="Tahoma"/>
            <family val="2"/>
          </rPr>
          <t>"Sí"</t>
        </r>
        <r>
          <rPr>
            <sz val="9"/>
            <color indexed="81"/>
            <rFont val="Tahoma"/>
            <family val="2"/>
          </rPr>
          <t xml:space="preserve">
Además, informar la fecha aproximada de su proximo control.</t>
        </r>
        <r>
          <rPr>
            <b/>
            <sz val="9"/>
            <color indexed="81"/>
            <rFont val="Tahoma"/>
            <family val="2"/>
          </rPr>
          <t xml:space="preserve">
</t>
        </r>
        <r>
          <rPr>
            <sz val="9"/>
            <color indexed="81"/>
            <rFont val="Tahoma"/>
            <family val="2"/>
          </rPr>
          <t xml:space="preserve">
</t>
        </r>
      </text>
    </comment>
    <comment ref="I51" authorId="6" shapeId="0" xr:uid="{72CD80A9-4AB1-451C-A467-1BFDD046CC2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 xml:space="preserve">ó </t>
        </r>
        <r>
          <rPr>
            <b/>
            <sz val="9"/>
            <color indexed="81"/>
            <rFont val="Tahoma"/>
            <family val="2"/>
          </rPr>
          <t>Módulo Box/Agregar documento a una atención</t>
        </r>
        <r>
          <rPr>
            <sz val="9"/>
            <color indexed="81"/>
            <rFont val="Tahoma"/>
            <family val="2"/>
          </rPr>
          <t xml:space="preserve">; en Formulario Clínico: 
- </t>
        </r>
        <r>
          <rPr>
            <b/>
            <sz val="9"/>
            <color indexed="81"/>
            <rFont val="Tahoma"/>
            <family val="2"/>
          </rPr>
          <t xml:space="preserve">"Programa Dependencia, PADDS y CPU" </t>
        </r>
        <r>
          <rPr>
            <sz val="9"/>
            <color indexed="81"/>
            <rFont val="Tahoma"/>
            <family val="2"/>
          </rPr>
          <t>en la sección</t>
        </r>
        <r>
          <rPr>
            <b/>
            <sz val="9"/>
            <color indexed="81"/>
            <rFont val="Tahoma"/>
            <family val="2"/>
          </rPr>
          <t xml:space="preserve"> Sujeto de Cuidado</t>
        </r>
        <r>
          <rPr>
            <sz val="9"/>
            <color indexed="81"/>
            <rFont val="Tahoma"/>
            <family val="2"/>
          </rPr>
          <t xml:space="preserve"> en campo</t>
        </r>
        <r>
          <rPr>
            <b/>
            <sz val="9"/>
            <color indexed="81"/>
            <rFont val="Tahoma"/>
            <family val="2"/>
          </rPr>
          <t xml:space="preserve"> Tipo de Paciente</t>
        </r>
        <r>
          <rPr>
            <sz val="9"/>
            <color indexed="81"/>
            <rFont val="Tahoma"/>
            <family val="2"/>
          </rPr>
          <t xml:space="preserve"> se registre el valor</t>
        </r>
        <r>
          <rPr>
            <b/>
            <sz val="9"/>
            <color indexed="81"/>
            <rFont val="Tahoma"/>
            <family val="2"/>
          </rPr>
          <t xml:space="preserve"> "Oncológico" o "No Oncológico" </t>
        </r>
        <r>
          <rPr>
            <sz val="9"/>
            <color indexed="81"/>
            <rFont val="Tahoma"/>
            <family val="2"/>
          </rPr>
          <t xml:space="preserve"> y en campo </t>
        </r>
        <r>
          <rPr>
            <b/>
            <sz val="9"/>
            <color indexed="81"/>
            <rFont val="Tahoma"/>
            <family val="2"/>
          </rPr>
          <t>Tipo de Dependencia</t>
        </r>
        <r>
          <rPr>
            <sz val="9"/>
            <color indexed="81"/>
            <rFont val="Tahoma"/>
            <family val="2"/>
          </rPr>
          <t xml:space="preserve"> en valor</t>
        </r>
        <r>
          <rPr>
            <b/>
            <sz val="9"/>
            <color indexed="81"/>
            <rFont val="Tahoma"/>
            <family val="2"/>
          </rPr>
          <t xml:space="preserve"> Severa , </t>
        </r>
        <r>
          <rPr>
            <sz val="9"/>
            <color indexed="81"/>
            <rFont val="Tahoma"/>
            <family val="2"/>
          </rPr>
          <t xml:space="preserve">además en el </t>
        </r>
        <r>
          <rPr>
            <b/>
            <sz val="9"/>
            <color indexed="81"/>
            <rFont val="Tahoma"/>
            <family val="2"/>
          </rPr>
          <t>Estado Dependencia</t>
        </r>
        <r>
          <rPr>
            <sz val="9"/>
            <color indexed="81"/>
            <rFont val="Tahoma"/>
            <family val="2"/>
          </rPr>
          <t xml:space="preserve"> el Valor</t>
        </r>
        <r>
          <rPr>
            <b/>
            <sz val="9"/>
            <color indexed="81"/>
            <rFont val="Tahoma"/>
            <family val="2"/>
          </rPr>
          <t xml:space="preserve"> Ingreso, Reingreso o Seguimiento</t>
        </r>
        <r>
          <rPr>
            <sz val="9"/>
            <color indexed="81"/>
            <rFont val="Tahoma"/>
            <family val="2"/>
          </rPr>
          <t xml:space="preserve">
y Además en campo </t>
        </r>
        <r>
          <rPr>
            <b/>
            <sz val="9"/>
            <color indexed="81"/>
            <rFont val="Tahoma"/>
            <family val="2"/>
          </rPr>
          <t>PADPDS</t>
        </r>
        <r>
          <rPr>
            <sz val="9"/>
            <color indexed="81"/>
            <rFont val="Tahoma"/>
            <family val="2"/>
          </rPr>
          <t xml:space="preserve"> el valor </t>
        </r>
        <r>
          <rPr>
            <b/>
            <sz val="9"/>
            <color indexed="81"/>
            <rFont val="Tahoma"/>
            <family val="2"/>
          </rPr>
          <t>Sí o No</t>
        </r>
        <r>
          <rPr>
            <sz val="9"/>
            <color indexed="81"/>
            <rFont val="Tahoma"/>
            <family val="2"/>
          </rPr>
          <t xml:space="preserve">
Además en la Sección </t>
        </r>
        <r>
          <rPr>
            <b/>
            <sz val="9"/>
            <color indexed="81"/>
            <rFont val="Tahoma"/>
            <family val="2"/>
          </rPr>
          <t>Cuidador</t>
        </r>
        <r>
          <rPr>
            <sz val="9"/>
            <color indexed="81"/>
            <rFont val="Tahoma"/>
            <family val="2"/>
          </rPr>
          <t xml:space="preserve"> seleccionar en Campo Tiene Cuidador el valor </t>
        </r>
        <r>
          <rPr>
            <b/>
            <sz val="9"/>
            <color indexed="81"/>
            <rFont val="Tahoma"/>
            <family val="2"/>
          </rPr>
          <t>Sí</t>
        </r>
        <r>
          <rPr>
            <sz val="9"/>
            <color indexed="81"/>
            <rFont val="Tahoma"/>
            <family val="2"/>
          </rPr>
          <t xml:space="preserve">
y en el campo  </t>
        </r>
        <r>
          <rPr>
            <b/>
            <sz val="9"/>
            <color indexed="81"/>
            <rFont val="Tahoma"/>
            <family val="2"/>
          </rPr>
          <t>"Cuidador(a) Remunerado(a)?</t>
        </r>
        <r>
          <rPr>
            <sz val="9"/>
            <color indexed="81"/>
            <rFont val="Tahoma"/>
            <family val="2"/>
          </rPr>
          <t xml:space="preserve">" tenga el valor </t>
        </r>
        <r>
          <rPr>
            <b/>
            <sz val="9"/>
            <color indexed="81"/>
            <rFont val="Tahoma"/>
            <family val="2"/>
          </rPr>
          <t>"No"</t>
        </r>
        <r>
          <rPr>
            <sz val="9"/>
            <color indexed="81"/>
            <rFont val="Tahoma"/>
            <family val="2"/>
          </rPr>
          <t xml:space="preserve">
Además, informar la fecha aproximada de su proximo control.</t>
        </r>
      </text>
    </comment>
    <comment ref="J51" authorId="3" shapeId="0" xr:uid="{C87FB6A9-8BEC-4A5B-88F6-0762C2F22EE5}">
      <text>
        <r>
          <rPr>
            <sz val="9"/>
            <color indexed="81"/>
            <rFont val="Tahoma"/>
            <family val="2"/>
          </rPr>
          <t xml:space="preserve">Este dato aparecerá  luego de que en la atención registrada en </t>
        </r>
        <r>
          <rPr>
            <b/>
            <sz val="9"/>
            <color indexed="81"/>
            <rFont val="Tahoma"/>
            <family val="2"/>
          </rPr>
          <t xml:space="preserve">Módulo de Box/Pacientes citados ó Módulo Box/Agregar documento a una atención; </t>
        </r>
        <r>
          <rPr>
            <sz val="9"/>
            <color indexed="81"/>
            <rFont val="Tahoma"/>
            <family val="2"/>
          </rPr>
          <t xml:space="preserve">en Formulario Clínico: </t>
        </r>
        <r>
          <rPr>
            <b/>
            <sz val="9"/>
            <color indexed="81"/>
            <rFont val="Tahoma"/>
            <family val="2"/>
          </rPr>
          <t xml:space="preserve">
"Programa Dependencia, PADDS y CPU"</t>
        </r>
        <r>
          <rPr>
            <sz val="9"/>
            <color indexed="81"/>
            <rFont val="Tahoma"/>
            <family val="2"/>
          </rPr>
          <t xml:space="preserve"> en la sección </t>
        </r>
        <r>
          <rPr>
            <b/>
            <sz val="9"/>
            <color indexed="81"/>
            <rFont val="Tahoma"/>
            <family val="2"/>
          </rPr>
          <t xml:space="preserve">Sujeto de Cuidado </t>
        </r>
        <r>
          <rPr>
            <sz val="9"/>
            <color indexed="81"/>
            <rFont val="Tahoma"/>
            <family val="2"/>
          </rPr>
          <t xml:space="preserve">en campo </t>
        </r>
        <r>
          <rPr>
            <b/>
            <sz val="9"/>
            <color indexed="81"/>
            <rFont val="Tahoma"/>
            <family val="2"/>
          </rPr>
          <t xml:space="preserve">Tipo de Paciente </t>
        </r>
        <r>
          <rPr>
            <sz val="9"/>
            <color indexed="81"/>
            <rFont val="Tahoma"/>
            <family val="2"/>
          </rPr>
          <t xml:space="preserve">se registre el valor </t>
        </r>
        <r>
          <rPr>
            <b/>
            <sz val="9"/>
            <color indexed="81"/>
            <rFont val="Tahoma"/>
            <family val="2"/>
          </rPr>
          <t xml:space="preserve">"Oncológico" o "No Oncológico"  </t>
        </r>
        <r>
          <rPr>
            <sz val="9"/>
            <color indexed="81"/>
            <rFont val="Tahoma"/>
            <family val="2"/>
          </rPr>
          <t xml:space="preserve">y en campo </t>
        </r>
        <r>
          <rPr>
            <b/>
            <sz val="9"/>
            <color indexed="81"/>
            <rFont val="Tahoma"/>
            <family val="2"/>
          </rPr>
          <t>Tipo de Dependencia</t>
        </r>
        <r>
          <rPr>
            <sz val="9"/>
            <color indexed="81"/>
            <rFont val="Tahoma"/>
            <family val="2"/>
          </rPr>
          <t xml:space="preserve"> en valor</t>
        </r>
        <r>
          <rPr>
            <b/>
            <sz val="9"/>
            <color indexed="81"/>
            <rFont val="Tahoma"/>
            <family val="2"/>
          </rPr>
          <t xml:space="preserve"> Severa</t>
        </r>
        <r>
          <rPr>
            <sz val="9"/>
            <color indexed="81"/>
            <rFont val="Tahoma"/>
            <family val="2"/>
          </rPr>
          <t xml:space="preserve"> , además en el Estado Dependencia el Valor </t>
        </r>
        <r>
          <rPr>
            <b/>
            <sz val="9"/>
            <color indexed="81"/>
            <rFont val="Tahoma"/>
            <family val="2"/>
          </rPr>
          <t xml:space="preserve">Ingreso, Reingreso o Seguimiento
</t>
        </r>
        <r>
          <rPr>
            <sz val="9"/>
            <color indexed="81"/>
            <rFont val="Tahoma"/>
            <family val="2"/>
          </rPr>
          <t xml:space="preserve">y Además en campo </t>
        </r>
        <r>
          <rPr>
            <b/>
            <sz val="9"/>
            <color indexed="81"/>
            <rFont val="Tahoma"/>
            <family val="2"/>
          </rPr>
          <t>PADPDS</t>
        </r>
        <r>
          <rPr>
            <sz val="9"/>
            <color indexed="81"/>
            <rFont val="Tahoma"/>
            <family val="2"/>
          </rPr>
          <t xml:space="preserve"> el valor </t>
        </r>
        <r>
          <rPr>
            <b/>
            <sz val="9"/>
            <color indexed="81"/>
            <rFont val="Tahoma"/>
            <family val="2"/>
          </rPr>
          <t xml:space="preserve">Sí o No
</t>
        </r>
        <r>
          <rPr>
            <sz val="9"/>
            <color indexed="81"/>
            <rFont val="Tahoma"/>
            <family val="2"/>
          </rPr>
          <t xml:space="preserve">Además en la Sección </t>
        </r>
        <r>
          <rPr>
            <b/>
            <sz val="9"/>
            <color indexed="81"/>
            <rFont val="Tahoma"/>
            <family val="2"/>
          </rPr>
          <t xml:space="preserve">Cuidador </t>
        </r>
        <r>
          <rPr>
            <sz val="9"/>
            <color indexed="81"/>
            <rFont val="Tahoma"/>
            <family val="2"/>
          </rPr>
          <t xml:space="preserve">seleccionar en Campo </t>
        </r>
        <r>
          <rPr>
            <b/>
            <sz val="9"/>
            <color indexed="81"/>
            <rFont val="Tahoma"/>
            <family val="2"/>
          </rPr>
          <t xml:space="preserve">Tiene Cuidador el valor Sí
</t>
        </r>
        <r>
          <rPr>
            <sz val="9"/>
            <color indexed="81"/>
            <rFont val="Tahoma"/>
            <family val="2"/>
          </rPr>
          <t>y en el campo</t>
        </r>
        <r>
          <rPr>
            <b/>
            <sz val="9"/>
            <color indexed="81"/>
            <rFont val="Tahoma"/>
            <family val="2"/>
          </rPr>
          <t xml:space="preserve">  "Zarit Abreviado del Cuidador" </t>
        </r>
        <r>
          <rPr>
            <sz val="9"/>
            <color indexed="81"/>
            <rFont val="Tahoma"/>
            <family val="2"/>
          </rPr>
          <t xml:space="preserve">tenga el valor </t>
        </r>
        <r>
          <rPr>
            <b/>
            <sz val="9"/>
            <color indexed="81"/>
            <rFont val="Tahoma"/>
            <family val="2"/>
          </rPr>
          <t xml:space="preserve">"SI"
Además, informar la fecha aproximada de su proximo control.
</t>
        </r>
        <r>
          <rPr>
            <sz val="9"/>
            <color indexed="81"/>
            <rFont val="Tahoma"/>
            <family val="2"/>
          </rPr>
          <t xml:space="preserve">
</t>
        </r>
      </text>
    </comment>
    <comment ref="K51" authorId="6" shapeId="0" xr:uid="{C39A4355-CBB1-428E-88C3-5A12F4A98D81}">
      <text>
        <r>
          <rPr>
            <sz val="9"/>
            <color indexed="81"/>
            <rFont val="Tahoma"/>
            <family val="2"/>
          </rPr>
          <t xml:space="preserve"> Este dato aparecerá  luego de que en la atención registrada en Módulo de </t>
        </r>
        <r>
          <rPr>
            <b/>
            <sz val="9"/>
            <color indexed="81"/>
            <rFont val="Tahoma"/>
            <family val="2"/>
          </rPr>
          <t>Box/Pacientes citados ó Módulo Box/Agregar documento a una atención</t>
        </r>
        <r>
          <rPr>
            <sz val="9"/>
            <color indexed="81"/>
            <rFont val="Tahoma"/>
            <family val="2"/>
          </rPr>
          <t xml:space="preserve">; en Formulario Clínico: 
- </t>
        </r>
        <r>
          <rPr>
            <b/>
            <sz val="9"/>
            <color indexed="81"/>
            <rFont val="Tahoma"/>
            <family val="2"/>
          </rPr>
          <t xml:space="preserve">"Programa Dependencia, PADDS y CPU" </t>
        </r>
        <r>
          <rPr>
            <sz val="9"/>
            <color indexed="81"/>
            <rFont val="Tahoma"/>
            <family val="2"/>
          </rPr>
          <t>en la sección</t>
        </r>
        <r>
          <rPr>
            <b/>
            <sz val="9"/>
            <color indexed="81"/>
            <rFont val="Tahoma"/>
            <family val="2"/>
          </rPr>
          <t xml:space="preserve"> Sujeto de Cuidado</t>
        </r>
        <r>
          <rPr>
            <sz val="9"/>
            <color indexed="81"/>
            <rFont val="Tahoma"/>
            <family val="2"/>
          </rPr>
          <t xml:space="preserve"> en campo </t>
        </r>
        <r>
          <rPr>
            <b/>
            <sz val="9"/>
            <color indexed="81"/>
            <rFont val="Tahoma"/>
            <family val="2"/>
          </rPr>
          <t>Tipo de Paciente</t>
        </r>
        <r>
          <rPr>
            <sz val="9"/>
            <color indexed="81"/>
            <rFont val="Tahoma"/>
            <family val="2"/>
          </rPr>
          <t xml:space="preserve"> se registre el valor</t>
        </r>
        <r>
          <rPr>
            <b/>
            <sz val="9"/>
            <color indexed="81"/>
            <rFont val="Tahoma"/>
            <family val="2"/>
          </rPr>
          <t xml:space="preserve"> "Oncológico" o "No Oncológico" </t>
        </r>
        <r>
          <rPr>
            <sz val="9"/>
            <color indexed="81"/>
            <rFont val="Tahoma"/>
            <family val="2"/>
          </rPr>
          <t xml:space="preserve"> y en campo</t>
        </r>
        <r>
          <rPr>
            <b/>
            <sz val="9"/>
            <color indexed="81"/>
            <rFont val="Tahoma"/>
            <family val="2"/>
          </rPr>
          <t xml:space="preserve"> Tipo de Dependencia</t>
        </r>
        <r>
          <rPr>
            <sz val="9"/>
            <color indexed="81"/>
            <rFont val="Tahoma"/>
            <family val="2"/>
          </rPr>
          <t xml:space="preserve"> el valor</t>
        </r>
        <r>
          <rPr>
            <b/>
            <sz val="9"/>
            <color indexed="81"/>
            <rFont val="Tahoma"/>
            <family val="2"/>
          </rPr>
          <t xml:space="preserve"> Severa , </t>
        </r>
        <r>
          <rPr>
            <sz val="9"/>
            <color indexed="81"/>
            <rFont val="Tahoma"/>
            <family val="2"/>
          </rPr>
          <t xml:space="preserve">además en el </t>
        </r>
        <r>
          <rPr>
            <b/>
            <sz val="9"/>
            <color indexed="81"/>
            <rFont val="Tahoma"/>
            <family val="2"/>
          </rPr>
          <t>Estado Dependencia</t>
        </r>
        <r>
          <rPr>
            <sz val="9"/>
            <color indexed="81"/>
            <rFont val="Tahoma"/>
            <family val="2"/>
          </rPr>
          <t xml:space="preserve"> el Valor</t>
        </r>
        <r>
          <rPr>
            <b/>
            <sz val="9"/>
            <color indexed="81"/>
            <rFont val="Tahoma"/>
            <family val="2"/>
          </rPr>
          <t xml:space="preserve"> Ingreso, Reingreso o Seguimiento
</t>
        </r>
        <r>
          <rPr>
            <sz val="9"/>
            <color indexed="81"/>
            <rFont val="Tahoma"/>
            <family val="2"/>
          </rPr>
          <t>y Además en campo</t>
        </r>
        <r>
          <rPr>
            <b/>
            <sz val="9"/>
            <color indexed="81"/>
            <rFont val="Tahoma"/>
            <family val="2"/>
          </rPr>
          <t xml:space="preserve"> PADPDS el valor Sí o No.
</t>
        </r>
        <r>
          <rPr>
            <sz val="9"/>
            <color indexed="81"/>
            <rFont val="Tahoma"/>
            <family val="2"/>
          </rPr>
          <t xml:space="preserve">
Además en la Sección </t>
        </r>
        <r>
          <rPr>
            <b/>
            <sz val="9"/>
            <color indexed="81"/>
            <rFont val="Tahoma"/>
            <family val="2"/>
          </rPr>
          <t>Cuidador</t>
        </r>
        <r>
          <rPr>
            <sz val="9"/>
            <color indexed="81"/>
            <rFont val="Tahoma"/>
            <family val="2"/>
          </rPr>
          <t xml:space="preserve"> seleccionar en Campo </t>
        </r>
        <r>
          <rPr>
            <b/>
            <sz val="9"/>
            <color indexed="81"/>
            <rFont val="Tahoma"/>
            <family val="2"/>
          </rPr>
          <t>Tiene Cuidador</t>
        </r>
        <r>
          <rPr>
            <sz val="9"/>
            <color indexed="81"/>
            <rFont val="Tahoma"/>
            <family val="2"/>
          </rPr>
          <t xml:space="preserve"> el valor </t>
        </r>
        <r>
          <rPr>
            <b/>
            <sz val="9"/>
            <color indexed="81"/>
            <rFont val="Tahoma"/>
            <family val="2"/>
          </rPr>
          <t xml:space="preserve">Sí.
</t>
        </r>
        <r>
          <rPr>
            <sz val="9"/>
            <color indexed="81"/>
            <rFont val="Tahoma"/>
            <family val="2"/>
          </rPr>
          <t xml:space="preserve">Y en campo </t>
        </r>
        <r>
          <rPr>
            <b/>
            <sz val="9"/>
            <color indexed="81"/>
            <rFont val="Tahoma"/>
            <family val="2"/>
          </rPr>
          <t xml:space="preserve">Edad Cuidador </t>
        </r>
        <r>
          <rPr>
            <sz val="9"/>
            <color indexed="81"/>
            <rFont val="Tahoma"/>
            <family val="2"/>
          </rPr>
          <t xml:space="preserve">tenga un valor </t>
        </r>
        <r>
          <rPr>
            <b/>
            <sz val="9"/>
            <color indexed="81"/>
            <rFont val="Tahoma"/>
            <family val="2"/>
          </rPr>
          <t xml:space="preserve">&gt; a 65 años
</t>
        </r>
      </text>
    </comment>
    <comment ref="L51" authorId="3" shapeId="0" xr:uid="{F6FDBDE3-E80C-47C4-A651-A3BA61F11294}">
      <text>
        <r>
          <rPr>
            <sz val="9"/>
            <color indexed="81"/>
            <rFont val="Tahoma"/>
            <family val="2"/>
          </rPr>
          <t>Este dato aparecerá  luego de que en la atención registrada en Módulo de</t>
        </r>
        <r>
          <rPr>
            <b/>
            <sz val="9"/>
            <color indexed="81"/>
            <rFont val="Tahoma"/>
            <family val="2"/>
          </rPr>
          <t xml:space="preserve"> Box/Pacientes citados ó Módulo Box/Agregar documento a una atención; </t>
        </r>
        <r>
          <rPr>
            <sz val="9"/>
            <color indexed="81"/>
            <rFont val="Tahoma"/>
            <family val="2"/>
          </rPr>
          <t xml:space="preserve">en Formulario Clínico: </t>
        </r>
        <r>
          <rPr>
            <b/>
            <sz val="9"/>
            <color indexed="81"/>
            <rFont val="Tahoma"/>
            <family val="2"/>
          </rPr>
          <t xml:space="preserve">
"Programa Dependencia, PADDS y CPU" </t>
        </r>
        <r>
          <rPr>
            <sz val="9"/>
            <color indexed="81"/>
            <rFont val="Tahoma"/>
            <family val="2"/>
          </rPr>
          <t>en la sección</t>
        </r>
        <r>
          <rPr>
            <b/>
            <sz val="9"/>
            <color indexed="81"/>
            <rFont val="Tahoma"/>
            <family val="2"/>
          </rPr>
          <t xml:space="preserve"> Sujeto de Cuidado </t>
        </r>
        <r>
          <rPr>
            <sz val="9"/>
            <color indexed="81"/>
            <rFont val="Tahoma"/>
            <family val="2"/>
          </rPr>
          <t>en campo</t>
        </r>
        <r>
          <rPr>
            <b/>
            <sz val="9"/>
            <color indexed="81"/>
            <rFont val="Tahoma"/>
            <family val="2"/>
          </rPr>
          <t xml:space="preserve"> Tipo de Paciente</t>
        </r>
        <r>
          <rPr>
            <sz val="9"/>
            <color indexed="81"/>
            <rFont val="Tahoma"/>
            <family val="2"/>
          </rPr>
          <t xml:space="preserve"> se registre el valor</t>
        </r>
        <r>
          <rPr>
            <b/>
            <sz val="9"/>
            <color indexed="81"/>
            <rFont val="Tahoma"/>
            <family val="2"/>
          </rPr>
          <t xml:space="preserve"> "Oncológico" o "No Oncológico" </t>
        </r>
        <r>
          <rPr>
            <sz val="9"/>
            <color indexed="81"/>
            <rFont val="Tahoma"/>
            <family val="2"/>
          </rPr>
          <t xml:space="preserve"> y en campo </t>
        </r>
        <r>
          <rPr>
            <b/>
            <sz val="9"/>
            <color indexed="81"/>
            <rFont val="Tahoma"/>
            <family val="2"/>
          </rPr>
          <t>Tipo de Dependencia</t>
        </r>
        <r>
          <rPr>
            <sz val="9"/>
            <color indexed="81"/>
            <rFont val="Tahoma"/>
            <family val="2"/>
          </rPr>
          <t xml:space="preserve"> el valor</t>
        </r>
        <r>
          <rPr>
            <b/>
            <sz val="9"/>
            <color indexed="81"/>
            <rFont val="Tahoma"/>
            <family val="2"/>
          </rPr>
          <t xml:space="preserve"> Severa </t>
        </r>
        <r>
          <rPr>
            <sz val="9"/>
            <color indexed="81"/>
            <rFont val="Tahoma"/>
            <family val="2"/>
          </rPr>
          <t xml:space="preserve">, además en el </t>
        </r>
        <r>
          <rPr>
            <b/>
            <sz val="9"/>
            <color indexed="81"/>
            <rFont val="Tahoma"/>
            <family val="2"/>
          </rPr>
          <t xml:space="preserve">Estado Dependencia </t>
        </r>
        <r>
          <rPr>
            <sz val="9"/>
            <color indexed="81"/>
            <rFont val="Tahoma"/>
            <family val="2"/>
          </rPr>
          <t xml:space="preserve">el Valor </t>
        </r>
        <r>
          <rPr>
            <b/>
            <sz val="9"/>
            <color indexed="81"/>
            <rFont val="Tahoma"/>
            <family val="2"/>
          </rPr>
          <t xml:space="preserve">Ingreso, Reingreso o Seguimiento
</t>
        </r>
        <r>
          <rPr>
            <sz val="9"/>
            <color indexed="81"/>
            <rFont val="Tahoma"/>
            <family val="2"/>
          </rPr>
          <t>y Además en campo</t>
        </r>
        <r>
          <rPr>
            <b/>
            <sz val="9"/>
            <color indexed="81"/>
            <rFont val="Tahoma"/>
            <family val="2"/>
          </rPr>
          <t xml:space="preserve"> PADPDS </t>
        </r>
        <r>
          <rPr>
            <sz val="9"/>
            <color indexed="81"/>
            <rFont val="Tahoma"/>
            <family val="2"/>
          </rPr>
          <t>el valor</t>
        </r>
        <r>
          <rPr>
            <b/>
            <sz val="9"/>
            <color indexed="81"/>
            <rFont val="Tahoma"/>
            <family val="2"/>
          </rPr>
          <t xml:space="preserve"> Sí o No
</t>
        </r>
        <r>
          <rPr>
            <sz val="9"/>
            <color indexed="81"/>
            <rFont val="Tahoma"/>
            <family val="2"/>
          </rPr>
          <t xml:space="preserve">Además en la Sección </t>
        </r>
        <r>
          <rPr>
            <b/>
            <sz val="9"/>
            <color indexed="81"/>
            <rFont val="Tahoma"/>
            <family val="2"/>
          </rPr>
          <t xml:space="preserve">Cuidador </t>
        </r>
        <r>
          <rPr>
            <sz val="9"/>
            <color indexed="81"/>
            <rFont val="Tahoma"/>
            <family val="2"/>
          </rPr>
          <t>seleccionar en Campo</t>
        </r>
        <r>
          <rPr>
            <b/>
            <sz val="9"/>
            <color indexed="81"/>
            <rFont val="Tahoma"/>
            <family val="2"/>
          </rPr>
          <t xml:space="preserve"> Tiene Cuidador </t>
        </r>
        <r>
          <rPr>
            <sz val="9"/>
            <color indexed="81"/>
            <rFont val="Tahoma"/>
            <family val="2"/>
          </rPr>
          <t>el valor</t>
        </r>
        <r>
          <rPr>
            <b/>
            <sz val="9"/>
            <color indexed="81"/>
            <rFont val="Tahoma"/>
            <family val="2"/>
          </rPr>
          <t xml:space="preserve"> Sí
</t>
        </r>
        <r>
          <rPr>
            <sz val="9"/>
            <color indexed="81"/>
            <rFont val="Tahoma"/>
            <family val="2"/>
          </rPr>
          <t xml:space="preserve">y en el campo  </t>
        </r>
        <r>
          <rPr>
            <b/>
            <sz val="9"/>
            <color indexed="81"/>
            <rFont val="Tahoma"/>
            <family val="2"/>
          </rPr>
          <t>"Cuidador Atendido por ECICEP"</t>
        </r>
        <r>
          <rPr>
            <sz val="9"/>
            <color indexed="81"/>
            <rFont val="Tahoma"/>
            <family val="2"/>
          </rPr>
          <t xml:space="preserve"> tenga el valor</t>
        </r>
        <r>
          <rPr>
            <b/>
            <sz val="9"/>
            <color indexed="81"/>
            <rFont val="Tahoma"/>
            <family val="2"/>
          </rPr>
          <t xml:space="preserve"> "SI"
Además, informar la fecha aproximada de su proximo control.
</t>
        </r>
      </text>
    </comment>
    <comment ref="M51" authorId="3" shapeId="0" xr:uid="{B747D227-A2C9-4306-941C-BAE4D34C02D7}">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en Formulario Clínico: 
</t>
        </r>
        <r>
          <rPr>
            <b/>
            <sz val="9"/>
            <color indexed="81"/>
            <rFont val="Tahoma"/>
            <family val="2"/>
          </rPr>
          <t>"Programa Dependencia, PADDS y CPU"</t>
        </r>
        <r>
          <rPr>
            <sz val="9"/>
            <color indexed="81"/>
            <rFont val="Tahoma"/>
            <family val="2"/>
          </rPr>
          <t xml:space="preserve"> en la sección </t>
        </r>
        <r>
          <rPr>
            <b/>
            <sz val="9"/>
            <color indexed="81"/>
            <rFont val="Tahoma"/>
            <family val="2"/>
          </rPr>
          <t>Sujeto de Cuidado</t>
        </r>
        <r>
          <rPr>
            <sz val="9"/>
            <color indexed="81"/>
            <rFont val="Tahoma"/>
            <family val="2"/>
          </rPr>
          <t xml:space="preserve"> en campo </t>
        </r>
        <r>
          <rPr>
            <b/>
            <sz val="9"/>
            <color indexed="81"/>
            <rFont val="Tahoma"/>
            <family val="2"/>
          </rPr>
          <t xml:space="preserve">Tipo de Paciente </t>
        </r>
        <r>
          <rPr>
            <sz val="9"/>
            <color indexed="81"/>
            <rFont val="Tahoma"/>
            <family val="2"/>
          </rPr>
          <t xml:space="preserve">se registre el valor </t>
        </r>
        <r>
          <rPr>
            <b/>
            <sz val="9"/>
            <color indexed="81"/>
            <rFont val="Tahoma"/>
            <family val="2"/>
          </rPr>
          <t>"Oncológico" o "No Oncológico"</t>
        </r>
        <r>
          <rPr>
            <sz val="9"/>
            <color indexed="81"/>
            <rFont val="Tahoma"/>
            <family val="2"/>
          </rPr>
          <t xml:space="preserve">  y en campo </t>
        </r>
        <r>
          <rPr>
            <b/>
            <sz val="9"/>
            <color indexed="81"/>
            <rFont val="Tahoma"/>
            <family val="2"/>
          </rPr>
          <t>Tipo de Dependencia</t>
        </r>
        <r>
          <rPr>
            <sz val="9"/>
            <color indexed="81"/>
            <rFont val="Tahoma"/>
            <family val="2"/>
          </rPr>
          <t xml:space="preserve"> el valor </t>
        </r>
        <r>
          <rPr>
            <b/>
            <sz val="9"/>
            <color indexed="81"/>
            <rFont val="Tahoma"/>
            <family val="2"/>
          </rPr>
          <t>Severa</t>
        </r>
        <r>
          <rPr>
            <sz val="9"/>
            <color indexed="81"/>
            <rFont val="Tahoma"/>
            <family val="2"/>
          </rPr>
          <t xml:space="preserve"> , además en el </t>
        </r>
        <r>
          <rPr>
            <b/>
            <sz val="9"/>
            <color indexed="81"/>
            <rFont val="Tahoma"/>
            <family val="2"/>
          </rPr>
          <t>Estado Dependencia</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
y Además en campo </t>
        </r>
        <r>
          <rPr>
            <b/>
            <sz val="9"/>
            <color indexed="81"/>
            <rFont val="Tahoma"/>
            <family val="2"/>
          </rPr>
          <t>PADPDS</t>
        </r>
        <r>
          <rPr>
            <sz val="9"/>
            <color indexed="81"/>
            <rFont val="Tahoma"/>
            <family val="2"/>
          </rPr>
          <t xml:space="preserve"> el valor </t>
        </r>
        <r>
          <rPr>
            <b/>
            <sz val="9"/>
            <color indexed="81"/>
            <rFont val="Tahoma"/>
            <family val="2"/>
          </rPr>
          <t xml:space="preserve">Sí o No
</t>
        </r>
        <r>
          <rPr>
            <sz val="9"/>
            <color indexed="81"/>
            <rFont val="Tahoma"/>
            <family val="2"/>
          </rPr>
          <t xml:space="preserve">
Además en la </t>
        </r>
        <r>
          <rPr>
            <b/>
            <sz val="9"/>
            <color indexed="81"/>
            <rFont val="Tahoma"/>
            <family val="2"/>
          </rPr>
          <t>Sección Cuidador</t>
        </r>
        <r>
          <rPr>
            <sz val="9"/>
            <color indexed="81"/>
            <rFont val="Tahoma"/>
            <family val="2"/>
          </rPr>
          <t xml:space="preserve"> seleccionar en Campo </t>
        </r>
        <r>
          <rPr>
            <b/>
            <sz val="9"/>
            <color indexed="81"/>
            <rFont val="Tahoma"/>
            <family val="2"/>
          </rPr>
          <t>Tiene Cuidador</t>
        </r>
        <r>
          <rPr>
            <sz val="9"/>
            <color indexed="81"/>
            <rFont val="Tahoma"/>
            <family val="2"/>
          </rPr>
          <t xml:space="preserve"> el valor </t>
        </r>
        <r>
          <rPr>
            <b/>
            <sz val="9"/>
            <color indexed="81"/>
            <rFont val="Tahoma"/>
            <family val="2"/>
          </rPr>
          <t>Sí</t>
        </r>
        <r>
          <rPr>
            <sz val="9"/>
            <color indexed="81"/>
            <rFont val="Tahoma"/>
            <family val="2"/>
          </rPr>
          <t xml:space="preserve">
y en el campo  </t>
        </r>
        <r>
          <rPr>
            <b/>
            <sz val="9"/>
            <color indexed="81"/>
            <rFont val="Tahoma"/>
            <family val="2"/>
          </rPr>
          <t>"Cuidador en Programa de Apoyo Intersectorial "</t>
        </r>
        <r>
          <rPr>
            <sz val="9"/>
            <color indexed="81"/>
            <rFont val="Tahoma"/>
            <family val="2"/>
          </rPr>
          <t xml:space="preserve"> tenga el valor </t>
        </r>
        <r>
          <rPr>
            <b/>
            <sz val="9"/>
            <color indexed="81"/>
            <rFont val="Tahoma"/>
            <family val="2"/>
          </rPr>
          <t>"SI"</t>
        </r>
        <r>
          <rPr>
            <sz val="9"/>
            <color indexed="81"/>
            <rFont val="Tahoma"/>
            <family val="2"/>
          </rPr>
          <t xml:space="preserve">
</t>
        </r>
        <r>
          <rPr>
            <b/>
            <sz val="9"/>
            <color indexed="81"/>
            <rFont val="Tahoma"/>
            <family val="2"/>
          </rPr>
          <t>Además, informar la fecha aproximada de su proximo control.</t>
        </r>
      </text>
    </comment>
    <comment ref="N51" authorId="3" shapeId="0" xr:uid="{38C88CA5-ED3D-45E4-82E4-AB49839EDFB7}">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 xml:space="preserve">
"Programa Dependencia, PADDS y CPU" </t>
        </r>
        <r>
          <rPr>
            <sz val="9"/>
            <color indexed="81"/>
            <rFont val="Tahoma"/>
            <family val="2"/>
          </rPr>
          <t>en la sección</t>
        </r>
        <r>
          <rPr>
            <b/>
            <sz val="9"/>
            <color indexed="81"/>
            <rFont val="Tahoma"/>
            <family val="2"/>
          </rPr>
          <t xml:space="preserve"> Sujeto de Cuidado </t>
        </r>
        <r>
          <rPr>
            <sz val="9"/>
            <color indexed="81"/>
            <rFont val="Tahoma"/>
            <family val="2"/>
          </rPr>
          <t>en campo</t>
        </r>
        <r>
          <rPr>
            <b/>
            <sz val="9"/>
            <color indexed="81"/>
            <rFont val="Tahoma"/>
            <family val="2"/>
          </rPr>
          <t xml:space="preserve"> Tipo de Paciente </t>
        </r>
        <r>
          <rPr>
            <sz val="9"/>
            <color indexed="81"/>
            <rFont val="Tahoma"/>
            <family val="2"/>
          </rPr>
          <t xml:space="preserve">se registre el valor </t>
        </r>
        <r>
          <rPr>
            <b/>
            <sz val="9"/>
            <color indexed="81"/>
            <rFont val="Tahoma"/>
            <family val="2"/>
          </rPr>
          <t xml:space="preserve">"Oncológico" o "No Oncológico"  </t>
        </r>
        <r>
          <rPr>
            <sz val="9"/>
            <color indexed="81"/>
            <rFont val="Tahoma"/>
            <family val="2"/>
          </rPr>
          <t xml:space="preserve">y en campo </t>
        </r>
        <r>
          <rPr>
            <b/>
            <sz val="9"/>
            <color indexed="81"/>
            <rFont val="Tahoma"/>
            <family val="2"/>
          </rPr>
          <t xml:space="preserve">Tipo de Dependencia </t>
        </r>
        <r>
          <rPr>
            <sz val="9"/>
            <color indexed="81"/>
            <rFont val="Tahoma"/>
            <family val="2"/>
          </rPr>
          <t xml:space="preserve">el valor </t>
        </r>
        <r>
          <rPr>
            <b/>
            <sz val="9"/>
            <color indexed="81"/>
            <rFont val="Tahoma"/>
            <family val="2"/>
          </rPr>
          <t>Severa</t>
        </r>
        <r>
          <rPr>
            <sz val="9"/>
            <color indexed="81"/>
            <rFont val="Tahoma"/>
            <family val="2"/>
          </rPr>
          <t xml:space="preserve"> , además en e</t>
        </r>
        <r>
          <rPr>
            <b/>
            <sz val="9"/>
            <color indexed="81"/>
            <rFont val="Tahoma"/>
            <family val="2"/>
          </rPr>
          <t xml:space="preserve">l Estado Dependencia </t>
        </r>
        <r>
          <rPr>
            <sz val="9"/>
            <color indexed="81"/>
            <rFont val="Tahoma"/>
            <family val="2"/>
          </rPr>
          <t>el Valor</t>
        </r>
        <r>
          <rPr>
            <b/>
            <sz val="9"/>
            <color indexed="81"/>
            <rFont val="Tahoma"/>
            <family val="2"/>
          </rPr>
          <t xml:space="preserve"> Ingreso, Reingreso o Seguimiento
</t>
        </r>
        <r>
          <rPr>
            <sz val="9"/>
            <color indexed="81"/>
            <rFont val="Tahoma"/>
            <family val="2"/>
          </rPr>
          <t xml:space="preserve">y Además en campo </t>
        </r>
        <r>
          <rPr>
            <b/>
            <sz val="9"/>
            <color indexed="81"/>
            <rFont val="Tahoma"/>
            <family val="2"/>
          </rPr>
          <t>PADPDS</t>
        </r>
        <r>
          <rPr>
            <sz val="9"/>
            <color indexed="81"/>
            <rFont val="Tahoma"/>
            <family val="2"/>
          </rPr>
          <t xml:space="preserve"> el valor </t>
        </r>
        <r>
          <rPr>
            <b/>
            <sz val="9"/>
            <color indexed="81"/>
            <rFont val="Tahoma"/>
            <family val="2"/>
          </rPr>
          <t xml:space="preserve">Sí o No
</t>
        </r>
        <r>
          <rPr>
            <sz val="9"/>
            <color indexed="81"/>
            <rFont val="Tahoma"/>
            <family val="2"/>
          </rPr>
          <t>Además en la Sección</t>
        </r>
        <r>
          <rPr>
            <b/>
            <sz val="9"/>
            <color indexed="81"/>
            <rFont val="Tahoma"/>
            <family val="2"/>
          </rPr>
          <t xml:space="preserve"> Cuidador </t>
        </r>
        <r>
          <rPr>
            <sz val="9"/>
            <color indexed="81"/>
            <rFont val="Tahoma"/>
            <family val="2"/>
          </rPr>
          <t xml:space="preserve">seleccionar en Campo </t>
        </r>
        <r>
          <rPr>
            <b/>
            <sz val="9"/>
            <color indexed="81"/>
            <rFont val="Tahoma"/>
            <family val="2"/>
          </rPr>
          <t xml:space="preserve">Tiene Cuidador </t>
        </r>
        <r>
          <rPr>
            <sz val="9"/>
            <color indexed="81"/>
            <rFont val="Tahoma"/>
            <family val="2"/>
          </rPr>
          <t>el valor Sí</t>
        </r>
        <r>
          <rPr>
            <b/>
            <sz val="9"/>
            <color indexed="81"/>
            <rFont val="Tahoma"/>
            <family val="2"/>
          </rPr>
          <t xml:space="preserve">
</t>
        </r>
        <r>
          <rPr>
            <sz val="9"/>
            <color indexed="81"/>
            <rFont val="Tahoma"/>
            <family val="2"/>
          </rPr>
          <t xml:space="preserve">y en el campo </t>
        </r>
        <r>
          <rPr>
            <b/>
            <sz val="9"/>
            <color indexed="81"/>
            <rFont val="Tahoma"/>
            <family val="2"/>
          </rPr>
          <t xml:space="preserve"> "Cuidador con Atención Preferente" </t>
        </r>
        <r>
          <rPr>
            <sz val="9"/>
            <color indexed="81"/>
            <rFont val="Tahoma"/>
            <family val="2"/>
          </rPr>
          <t>tenga el valor</t>
        </r>
        <r>
          <rPr>
            <b/>
            <sz val="9"/>
            <color indexed="81"/>
            <rFont val="Tahoma"/>
            <family val="2"/>
          </rPr>
          <t xml:space="preserve"> "SI"
Además, informar la fecha aproximada de su proximo control.</t>
        </r>
      </text>
    </comment>
    <comment ref="AN54" authorId="1" shapeId="0" xr:uid="{9B4A84D6-7338-4BE1-A01E-F76F88D125F5}">
      <text>
        <r>
          <rPr>
            <sz val="9"/>
            <color indexed="81"/>
            <rFont val="Tahoma"/>
            <family val="2"/>
          </rPr>
          <t xml:space="preserve">
Se contabilizara a los usuarios  que en el </t>
        </r>
        <r>
          <rPr>
            <b/>
            <sz val="9"/>
            <color indexed="81"/>
            <rFont val="Tahoma"/>
            <family val="2"/>
          </rPr>
          <t>Módulo Admisión</t>
        </r>
        <r>
          <rPr>
            <sz val="9"/>
            <color indexed="81"/>
            <rFont val="Tahoma"/>
            <family val="2"/>
          </rPr>
          <t>, tengan registrado en el campo</t>
        </r>
        <r>
          <rPr>
            <b/>
            <sz val="9"/>
            <color indexed="81"/>
            <rFont val="Tahoma"/>
            <family val="2"/>
          </rPr>
          <t xml:space="preserve"> Pertenece a  Pueblo Indigena </t>
        </r>
        <r>
          <rPr>
            <sz val="9"/>
            <color indexed="81"/>
            <rFont val="Tahoma"/>
            <family val="2"/>
          </rPr>
          <t>el valor</t>
        </r>
        <r>
          <rPr>
            <b/>
            <sz val="9"/>
            <color indexed="81"/>
            <rFont val="Tahoma"/>
            <family val="2"/>
          </rPr>
          <t xml:space="preserve"> si</t>
        </r>
        <r>
          <rPr>
            <sz val="9"/>
            <color indexed="81"/>
            <rFont val="Tahoma"/>
            <family val="2"/>
          </rPr>
          <t xml:space="preserve"> y ademas </t>
        </r>
        <r>
          <rPr>
            <b/>
            <sz val="9"/>
            <color indexed="81"/>
            <rFont val="Tahoma"/>
            <family val="2"/>
          </rPr>
          <t xml:space="preserve">tenga seleccionado algun Pueblo indigena del listado. </t>
        </r>
      </text>
    </comment>
    <comment ref="AP54" authorId="0" shapeId="0" xr:uid="{65811BE1-E507-4C85-B02B-41A9ADC60E19}">
      <text>
        <r>
          <rPr>
            <sz val="9"/>
            <color indexed="81"/>
            <rFont val="Tahoma"/>
            <family val="2"/>
          </rPr>
          <t>Se contabilizara a los pacientes que tengan en Módulo Admisión o en Box Pacientes Citados registrado en el</t>
        </r>
        <r>
          <rPr>
            <b/>
            <sz val="9"/>
            <color indexed="81"/>
            <rFont val="Tahoma"/>
            <family val="2"/>
          </rPr>
          <t xml:space="preserve">  </t>
        </r>
        <r>
          <rPr>
            <sz val="9"/>
            <color indexed="81"/>
            <rFont val="Tahoma"/>
            <family val="2"/>
          </rPr>
          <t xml:space="preserve">Item  Alertas Administrativas la opción </t>
        </r>
        <r>
          <rPr>
            <b/>
            <sz val="9"/>
            <color indexed="81"/>
            <rFont val="Tahoma"/>
            <family val="2"/>
          </rPr>
          <t>"MIGRANTES"</t>
        </r>
      </text>
    </comment>
    <comment ref="B57" authorId="5" shapeId="0" xr:uid="{D4936361-B655-4850-93FF-469671957126}">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 </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Ingreso
</t>
        </r>
        <r>
          <rPr>
            <sz val="9"/>
            <color indexed="81"/>
            <rFont val="Tahoma"/>
            <family val="2"/>
          </rPr>
          <t xml:space="preserve">
Además,</t>
        </r>
        <r>
          <rPr>
            <b/>
            <sz val="9"/>
            <color indexed="81"/>
            <rFont val="Tahoma"/>
            <family val="2"/>
          </rPr>
          <t xml:space="preserve">  la fecha de Proximo control, </t>
        </r>
        <r>
          <rPr>
            <sz val="9"/>
            <color indexed="81"/>
            <rFont val="Tahoma"/>
            <family val="2"/>
          </rPr>
          <t>no debe superar el tiempo de inasistencia.</t>
        </r>
      </text>
    </comment>
    <comment ref="B58" authorId="5" shapeId="0" xr:uid="{06862CA6-5501-4E17-8930-052A339F8EC1}">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 </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Egreso por Abandono
</t>
        </r>
        <r>
          <rPr>
            <sz val="9"/>
            <color indexed="81"/>
            <rFont val="Tahoma"/>
            <family val="2"/>
          </rPr>
          <t>Además</t>
        </r>
        <r>
          <rPr>
            <b/>
            <sz val="9"/>
            <color indexed="81"/>
            <rFont val="Tahoma"/>
            <family val="2"/>
          </rPr>
          <t>,  la fecha de Proximo control</t>
        </r>
        <r>
          <rPr>
            <sz val="9"/>
            <color indexed="81"/>
            <rFont val="Tahoma"/>
            <family val="2"/>
          </rPr>
          <t>, no debe superar el tiempo de inasistencia.</t>
        </r>
      </text>
    </comment>
    <comment ref="B59" authorId="5" shapeId="0" xr:uid="{05F2BF22-EAF5-442D-9268-0525A795F23A}">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 </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Egreso por Alta</t>
        </r>
        <r>
          <rPr>
            <sz val="9"/>
            <color indexed="81"/>
            <rFont val="Tahoma"/>
            <family val="2"/>
          </rPr>
          <t xml:space="preserve">. 
Además,  la </t>
        </r>
        <r>
          <rPr>
            <b/>
            <sz val="9"/>
            <color indexed="81"/>
            <rFont val="Tahoma"/>
            <family val="2"/>
          </rPr>
          <t>fecha de Proximo control</t>
        </r>
        <r>
          <rPr>
            <sz val="9"/>
            <color indexed="81"/>
            <rFont val="Tahoma"/>
            <family val="2"/>
          </rPr>
          <t>, no debe superar el tiempo de inasistencia.</t>
        </r>
      </text>
    </comment>
    <comment ref="B60" authorId="5" shapeId="0" xr:uid="{A7670023-989C-494D-8AB9-8030E0DCDD69}">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 </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Egreso por Alta</t>
        </r>
        <r>
          <rPr>
            <sz val="9"/>
            <color indexed="81"/>
            <rFont val="Tahoma"/>
            <family val="2"/>
          </rPr>
          <t xml:space="preserve">. 
Además la actividad </t>
        </r>
        <r>
          <rPr>
            <b/>
            <sz val="9"/>
            <color indexed="81"/>
            <rFont val="Tahoma"/>
            <family val="2"/>
          </rPr>
          <t xml:space="preserve">“Rehabilitación Pulmonar - Articulación Continuidad con Intersector ”.  
</t>
        </r>
        <r>
          <rPr>
            <sz val="9"/>
            <color indexed="81"/>
            <rFont val="Tahoma"/>
            <family val="2"/>
          </rPr>
          <t>Además</t>
        </r>
        <r>
          <rPr>
            <b/>
            <sz val="9"/>
            <color indexed="81"/>
            <rFont val="Tahoma"/>
            <family val="2"/>
          </rPr>
          <t xml:space="preserve">,  la fecha de Proximo control, </t>
        </r>
        <r>
          <rPr>
            <sz val="9"/>
            <color indexed="81"/>
            <rFont val="Tahoma"/>
            <family val="2"/>
          </rPr>
          <t>no debe superar el tiempo de inasistencia.</t>
        </r>
      </text>
    </comment>
    <comment ref="AN62" authorId="1" shapeId="0" xr:uid="{05E45823-E2B8-43C7-8C0A-AA05DAC28BAC}">
      <text>
        <r>
          <rPr>
            <sz val="9"/>
            <color indexed="81"/>
            <rFont val="Tahoma"/>
            <family val="2"/>
          </rPr>
          <t xml:space="preserve">
Se contabilizara a los usuarios  que en el </t>
        </r>
        <r>
          <rPr>
            <b/>
            <sz val="9"/>
            <color indexed="81"/>
            <rFont val="Tahoma"/>
            <family val="2"/>
          </rPr>
          <t>Módulo Admisión</t>
        </r>
        <r>
          <rPr>
            <sz val="9"/>
            <color indexed="81"/>
            <rFont val="Tahoma"/>
            <family val="2"/>
          </rPr>
          <t>, tengan registrado en el campo</t>
        </r>
        <r>
          <rPr>
            <b/>
            <sz val="9"/>
            <color indexed="81"/>
            <rFont val="Tahoma"/>
            <family val="2"/>
          </rPr>
          <t xml:space="preserve"> Pertenece a  Pueblo Indigena </t>
        </r>
        <r>
          <rPr>
            <sz val="9"/>
            <color indexed="81"/>
            <rFont val="Tahoma"/>
            <family val="2"/>
          </rPr>
          <t>el valor</t>
        </r>
        <r>
          <rPr>
            <b/>
            <sz val="9"/>
            <color indexed="81"/>
            <rFont val="Tahoma"/>
            <family val="2"/>
          </rPr>
          <t xml:space="preserve"> si</t>
        </r>
        <r>
          <rPr>
            <sz val="9"/>
            <color indexed="81"/>
            <rFont val="Tahoma"/>
            <family val="2"/>
          </rPr>
          <t xml:space="preserve"> y ademas </t>
        </r>
        <r>
          <rPr>
            <b/>
            <sz val="9"/>
            <color indexed="81"/>
            <rFont val="Tahoma"/>
            <family val="2"/>
          </rPr>
          <t xml:space="preserve">tenga seleccionado algun Pueblo indigena del listado. </t>
        </r>
      </text>
    </comment>
    <comment ref="AP62" authorId="0" shapeId="0" xr:uid="{752BA7FA-E021-4AD3-A509-3F33C6B84434}">
      <text>
        <r>
          <rPr>
            <sz val="9"/>
            <color indexed="81"/>
            <rFont val="Tahoma"/>
            <family val="2"/>
          </rPr>
          <t>Se contabilizara a los pacientes que tengan en Módulo Admisión o en Box Pacientes Citados registrado en el</t>
        </r>
        <r>
          <rPr>
            <b/>
            <sz val="9"/>
            <color indexed="81"/>
            <rFont val="Tahoma"/>
            <family val="2"/>
          </rPr>
          <t xml:space="preserve">  </t>
        </r>
        <r>
          <rPr>
            <sz val="9"/>
            <color indexed="81"/>
            <rFont val="Tahoma"/>
            <family val="2"/>
          </rPr>
          <t xml:space="preserve">Item  Alertas Administrativas la opción </t>
        </r>
        <r>
          <rPr>
            <b/>
            <sz val="9"/>
            <color indexed="81"/>
            <rFont val="Tahoma"/>
            <family val="2"/>
          </rPr>
          <t>"MIGRANTES"</t>
        </r>
      </text>
    </comment>
    <comment ref="C65" authorId="0" shapeId="0" xr:uid="{D9D3D8B9-332D-4EA1-9222-6476775D9FAB}">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 xml:space="preserve"> Estado</t>
        </r>
        <r>
          <rPr>
            <sz val="10"/>
            <color indexed="81"/>
            <rFont val="Tahoma"/>
            <family val="2"/>
          </rPr>
          <t xml:space="preserve"> tenga el valor </t>
        </r>
        <r>
          <rPr>
            <b/>
            <sz val="10"/>
            <color indexed="81"/>
            <rFont val="Tahoma"/>
            <family val="2"/>
          </rPr>
          <t>Ingreso o Seguimiento o Reingreso</t>
        </r>
        <r>
          <rPr>
            <sz val="10"/>
            <color indexed="81"/>
            <rFont val="Tahoma"/>
            <family val="2"/>
          </rPr>
          <t xml:space="preserve">. Además, en campo  </t>
        </r>
        <r>
          <rPr>
            <b/>
            <sz val="10"/>
            <color indexed="81"/>
            <rFont val="Tahoma"/>
            <family val="2"/>
          </rPr>
          <t xml:space="preserve"> "Estado de control Asma"</t>
        </r>
        <r>
          <rPr>
            <sz val="10"/>
            <color indexed="81"/>
            <rFont val="Tahoma"/>
            <family val="2"/>
          </rPr>
          <t xml:space="preserve"> tenga el  valor </t>
        </r>
        <r>
          <rPr>
            <b/>
            <sz val="10"/>
            <color indexed="81"/>
            <rFont val="Tahoma"/>
            <family val="2"/>
          </rPr>
          <t xml:space="preserve">"Controlado" </t>
        </r>
        <r>
          <rPr>
            <sz val="10"/>
            <color indexed="81"/>
            <rFont val="Tahoma"/>
            <family val="2"/>
          </rPr>
          <t xml:space="preserve">y  la </t>
        </r>
        <r>
          <rPr>
            <b/>
            <sz val="10"/>
            <color indexed="81"/>
            <rFont val="Tahoma"/>
            <family val="2"/>
          </rPr>
          <t>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66" authorId="0" shapeId="0" xr:uid="{A821DC6E-0241-41F2-B5A2-E8BC0DB7BB2D}">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 Padece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el campo </t>
        </r>
        <r>
          <rPr>
            <b/>
            <sz val="10"/>
            <color indexed="81"/>
            <rFont val="Tahoma"/>
            <family val="2"/>
          </rPr>
          <t>Estado</t>
        </r>
        <r>
          <rPr>
            <sz val="10"/>
            <color indexed="81"/>
            <rFont val="Tahoma"/>
            <family val="2"/>
          </rPr>
          <t xml:space="preserve"> tenga el valor</t>
        </r>
        <r>
          <rPr>
            <b/>
            <sz val="10"/>
            <color indexed="81"/>
            <rFont val="Tahoma"/>
            <family val="2"/>
          </rPr>
          <t xml:space="preserve"> Ingreso o Seguimiento o Reingreso</t>
        </r>
        <r>
          <rPr>
            <sz val="10"/>
            <color indexed="81"/>
            <rFont val="Tahoma"/>
            <family val="2"/>
          </rPr>
          <t xml:space="preserve">. Además, en campo </t>
        </r>
        <r>
          <rPr>
            <b/>
            <sz val="10"/>
            <color indexed="81"/>
            <rFont val="Tahoma"/>
            <family val="2"/>
          </rPr>
          <t>"Estado de control Asma"</t>
        </r>
        <r>
          <rPr>
            <sz val="10"/>
            <color indexed="81"/>
            <rFont val="Tahoma"/>
            <family val="2"/>
          </rPr>
          <t xml:space="preserve"> tenga el valor </t>
        </r>
        <r>
          <rPr>
            <b/>
            <sz val="10"/>
            <color indexed="81"/>
            <rFont val="Tahoma"/>
            <family val="2"/>
          </rPr>
          <t>" Parcialmente Controlado"</t>
        </r>
        <r>
          <rPr>
            <sz val="10"/>
            <color indexed="81"/>
            <rFont val="Tahoma"/>
            <family val="2"/>
          </rPr>
          <t xml:space="preserve"> y </t>
        </r>
        <r>
          <rPr>
            <b/>
            <sz val="10"/>
            <color indexed="81"/>
            <rFont val="Tahoma"/>
            <family val="2"/>
          </rPr>
          <t>la 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67" authorId="0" shapeId="0" xr:uid="{5514B7C5-68EC-41C4-B071-016C2724841C}">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 xml:space="preserve">Estado </t>
        </r>
        <r>
          <rPr>
            <sz val="10"/>
            <color indexed="81"/>
            <rFont val="Tahoma"/>
            <family val="2"/>
          </rPr>
          <t>tenga el valor</t>
        </r>
        <r>
          <rPr>
            <b/>
            <sz val="10"/>
            <color indexed="81"/>
            <rFont val="Tahoma"/>
            <family val="2"/>
          </rPr>
          <t xml:space="preserve"> Ingreso o Seguimiento o Reingreso</t>
        </r>
        <r>
          <rPr>
            <sz val="10"/>
            <color indexed="81"/>
            <rFont val="Tahoma"/>
            <family val="2"/>
          </rPr>
          <t xml:space="preserve">. Además, en campo </t>
        </r>
        <r>
          <rPr>
            <b/>
            <sz val="10"/>
            <color indexed="81"/>
            <rFont val="Tahoma"/>
            <family val="2"/>
          </rPr>
          <t>"Estado de control Asma"</t>
        </r>
        <r>
          <rPr>
            <sz val="10"/>
            <color indexed="81"/>
            <rFont val="Tahoma"/>
            <family val="2"/>
          </rPr>
          <t xml:space="preserve"> tenga el valor </t>
        </r>
        <r>
          <rPr>
            <b/>
            <sz val="10"/>
            <color indexed="81"/>
            <rFont val="Tahoma"/>
            <family val="2"/>
          </rPr>
          <t>"No Controlado"</t>
        </r>
        <r>
          <rPr>
            <sz val="10"/>
            <color indexed="81"/>
            <rFont val="Tahoma"/>
            <family val="2"/>
          </rPr>
          <t xml:space="preserve"> y la</t>
        </r>
        <r>
          <rPr>
            <b/>
            <sz val="10"/>
            <color indexed="81"/>
            <rFont val="Tahoma"/>
            <family val="2"/>
          </rPr>
          <t xml:space="preserve"> fecha de Proximo control</t>
        </r>
        <r>
          <rPr>
            <sz val="10"/>
            <color indexed="81"/>
            <rFont val="Tahoma"/>
            <family val="2"/>
          </rPr>
          <t xml:space="preserve">, no debe superar el tiempo de inasistencia.
</t>
        </r>
        <r>
          <rPr>
            <sz val="8"/>
            <color indexed="81"/>
            <rFont val="Tahoma"/>
            <family val="2"/>
          </rPr>
          <t xml:space="preserve">
</t>
        </r>
        <r>
          <rPr>
            <sz val="9"/>
            <color indexed="81"/>
            <rFont val="Tahoma"/>
            <family val="2"/>
          </rPr>
          <t xml:space="preserve">
</t>
        </r>
      </text>
    </comment>
    <comment ref="C68" authorId="0" shapeId="0" xr:uid="{432A9CAF-103A-4CDC-B204-DC36639E8EBE}">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 </t>
        </r>
        <r>
          <rPr>
            <b/>
            <sz val="10"/>
            <color indexed="81"/>
            <rFont val="Tahoma"/>
            <family val="2"/>
          </rPr>
          <t>Ingreso o Seguimiento o Reingreso</t>
        </r>
        <r>
          <rPr>
            <sz val="10"/>
            <color indexed="81"/>
            <rFont val="Tahoma"/>
            <family val="2"/>
          </rPr>
          <t xml:space="preserve">. Además, en campo </t>
        </r>
        <r>
          <rPr>
            <b/>
            <sz val="10"/>
            <color indexed="81"/>
            <rFont val="Tahoma"/>
            <family val="2"/>
          </rPr>
          <t xml:space="preserve">"Estado de control Asma" </t>
        </r>
        <r>
          <rPr>
            <sz val="10"/>
            <color indexed="81"/>
            <rFont val="Tahoma"/>
            <family val="2"/>
          </rPr>
          <t xml:space="preserve">tenga el valor </t>
        </r>
        <r>
          <rPr>
            <b/>
            <sz val="10"/>
            <color indexed="81"/>
            <rFont val="Tahoma"/>
            <family val="2"/>
          </rPr>
          <t>" No Evaluada"</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text>
    </comment>
    <comment ref="C69" authorId="0" shapeId="0" xr:uid="{08C0C35B-C562-41F2-BA5C-8FE72B5B4427}">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 xml:space="preserve">"Padece Enfermedad Pulmonar Cronica" </t>
        </r>
        <r>
          <rPr>
            <sz val="10"/>
            <color indexed="81"/>
            <rFont val="Tahoma"/>
            <family val="2"/>
          </rPr>
          <t xml:space="preserve">se registre el valor </t>
        </r>
        <r>
          <rPr>
            <b/>
            <sz val="10"/>
            <color indexed="81"/>
            <rFont val="Tahoma"/>
            <family val="2"/>
          </rPr>
          <t>"SI",</t>
        </r>
        <r>
          <rPr>
            <sz val="10"/>
            <color indexed="81"/>
            <rFont val="Tahoma"/>
            <family val="2"/>
          </rPr>
          <t xml:space="preserve"> en el campo  </t>
        </r>
        <r>
          <rPr>
            <b/>
            <sz val="10"/>
            <color indexed="81"/>
            <rFont val="Tahoma"/>
            <family val="2"/>
          </rPr>
          <t xml:space="preserve">Estado </t>
        </r>
        <r>
          <rPr>
            <sz val="10"/>
            <color indexed="81"/>
            <rFont val="Tahoma"/>
            <family val="2"/>
          </rPr>
          <t xml:space="preserve">tenga el valor </t>
        </r>
        <r>
          <rPr>
            <b/>
            <sz val="10"/>
            <color indexed="81"/>
            <rFont val="Tahoma"/>
            <family val="2"/>
          </rPr>
          <t>Ingreso o Seguimiento o Reingreso</t>
        </r>
        <r>
          <rPr>
            <sz val="10"/>
            <color indexed="81"/>
            <rFont val="Tahoma"/>
            <family val="2"/>
          </rPr>
          <t xml:space="preserve">. Además, en campo  </t>
        </r>
        <r>
          <rPr>
            <b/>
            <sz val="10"/>
            <color indexed="81"/>
            <rFont val="Tahoma"/>
            <family val="2"/>
          </rPr>
          <t>"Estado de control EPOC"</t>
        </r>
        <r>
          <rPr>
            <sz val="10"/>
            <color indexed="81"/>
            <rFont val="Tahoma"/>
            <family val="2"/>
          </rPr>
          <t xml:space="preserve"> tenga el valor </t>
        </r>
        <r>
          <rPr>
            <b/>
            <sz val="10"/>
            <color indexed="81"/>
            <rFont val="Tahoma"/>
            <family val="2"/>
          </rPr>
          <t xml:space="preserve">"Logra Control Adecuado" </t>
        </r>
        <r>
          <rPr>
            <sz val="10"/>
            <color indexed="81"/>
            <rFont val="Tahoma"/>
            <family val="2"/>
          </rPr>
          <t>y  la</t>
        </r>
        <r>
          <rPr>
            <b/>
            <sz val="10"/>
            <color indexed="81"/>
            <rFont val="Tahoma"/>
            <family val="2"/>
          </rPr>
          <t xml:space="preserve"> fecha de Proximo contro</t>
        </r>
        <r>
          <rPr>
            <sz val="10"/>
            <color indexed="81"/>
            <rFont val="Tahoma"/>
            <family val="2"/>
          </rPr>
          <t>l, no debe superar el tiempo de inasistencia.</t>
        </r>
      </text>
    </comment>
    <comment ref="C70" authorId="0" shapeId="0" xr:uid="{44996808-871E-4562-A834-942FC5FC3B57}">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Enfermedad Pulmonar Cronica"</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t>
        </r>
        <r>
          <rPr>
            <b/>
            <sz val="10"/>
            <color indexed="81"/>
            <rFont val="Tahoma"/>
            <family val="2"/>
          </rPr>
          <t xml:space="preserve"> Ingreso o Seguimiento o Reingreso</t>
        </r>
        <r>
          <rPr>
            <sz val="10"/>
            <color indexed="81"/>
            <rFont val="Tahoma"/>
            <family val="2"/>
          </rPr>
          <t>. Además, en campo</t>
        </r>
        <r>
          <rPr>
            <b/>
            <sz val="10"/>
            <color indexed="81"/>
            <rFont val="Tahoma"/>
            <family val="2"/>
          </rPr>
          <t xml:space="preserve"> "Estado de control EPOC"</t>
        </r>
        <r>
          <rPr>
            <sz val="10"/>
            <color indexed="81"/>
            <rFont val="Tahoma"/>
            <family val="2"/>
          </rPr>
          <t xml:space="preserve"> tenga el valor </t>
        </r>
        <r>
          <rPr>
            <b/>
            <sz val="10"/>
            <color indexed="81"/>
            <rFont val="Tahoma"/>
            <family val="2"/>
          </rPr>
          <t>"No Logra Control Adecuado"</t>
        </r>
        <r>
          <rPr>
            <sz val="10"/>
            <color indexed="81"/>
            <rFont val="Tahoma"/>
            <family val="2"/>
          </rPr>
          <t xml:space="preserve"> y</t>
        </r>
        <r>
          <rPr>
            <b/>
            <sz val="10"/>
            <color indexed="81"/>
            <rFont val="Tahoma"/>
            <family val="2"/>
          </rPr>
          <t xml:space="preserve"> la fecha de Proximo control</t>
        </r>
        <r>
          <rPr>
            <sz val="10"/>
            <color indexed="81"/>
            <rFont val="Tahoma"/>
            <family val="2"/>
          </rPr>
          <t xml:space="preserve">, no debe superar el tiempo de inasistencia.
</t>
        </r>
        <r>
          <rPr>
            <sz val="9"/>
            <color indexed="81"/>
            <rFont val="Tahoma"/>
            <family val="2"/>
          </rPr>
          <t xml:space="preserve">
</t>
        </r>
      </text>
    </comment>
    <comment ref="C71" authorId="0" shapeId="0" xr:uid="{3A90A8D8-367F-4ECF-A858-6776AADABD42}">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"Padece Enfermedad Pulmonar Cronica"</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 </t>
        </r>
        <r>
          <rPr>
            <b/>
            <sz val="10"/>
            <color indexed="81"/>
            <rFont val="Tahoma"/>
            <family val="2"/>
          </rPr>
          <t>Ingreso o Seguimiento o Reingreso</t>
        </r>
        <r>
          <rPr>
            <sz val="10"/>
            <color indexed="81"/>
            <rFont val="Tahoma"/>
            <family val="2"/>
          </rPr>
          <t xml:space="preserve">. Además, en campo </t>
        </r>
        <r>
          <rPr>
            <b/>
            <sz val="10"/>
            <color indexed="81"/>
            <rFont val="Tahoma"/>
            <family val="2"/>
          </rPr>
          <t>"Estado de control EPOC"</t>
        </r>
        <r>
          <rPr>
            <sz val="10"/>
            <color indexed="81"/>
            <rFont val="Tahoma"/>
            <family val="2"/>
          </rPr>
          <t xml:space="preserve"> tenga el valor </t>
        </r>
        <r>
          <rPr>
            <b/>
            <sz val="10"/>
            <color indexed="81"/>
            <rFont val="Tahoma"/>
            <family val="2"/>
          </rPr>
          <t>"No Evaluada"</t>
        </r>
        <r>
          <rPr>
            <sz val="10"/>
            <color indexed="81"/>
            <rFont val="Tahoma"/>
            <family val="2"/>
          </rPr>
          <t xml:space="preserve"> y la </t>
        </r>
        <r>
          <rPr>
            <b/>
            <sz val="10"/>
            <color indexed="81"/>
            <rFont val="Tahoma"/>
            <family val="2"/>
          </rPr>
          <t>fecha de Proximo control</t>
        </r>
        <r>
          <rPr>
            <sz val="10"/>
            <color indexed="81"/>
            <rFont val="Tahoma"/>
            <family val="2"/>
          </rPr>
          <t xml:space="preserve">, no debe superar el tiempo de inasistencia.
</t>
        </r>
        <r>
          <rPr>
            <sz val="9"/>
            <color indexed="81"/>
            <rFont val="Tahoma"/>
            <family val="2"/>
          </rPr>
          <t xml:space="preserve">
</t>
        </r>
      </text>
    </comment>
    <comment ref="AN73" authorId="1" shapeId="0" xr:uid="{8DA15868-47B5-4339-854D-2746AC343D75}">
      <text>
        <r>
          <rPr>
            <sz val="9"/>
            <color indexed="81"/>
            <rFont val="Tahoma"/>
            <family val="2"/>
          </rPr>
          <t xml:space="preserve">
Se contabilizara a los usuarios  que en el </t>
        </r>
        <r>
          <rPr>
            <b/>
            <sz val="9"/>
            <color indexed="81"/>
            <rFont val="Tahoma"/>
            <family val="2"/>
          </rPr>
          <t>Módulo Admisión</t>
        </r>
        <r>
          <rPr>
            <sz val="9"/>
            <color indexed="81"/>
            <rFont val="Tahoma"/>
            <family val="2"/>
          </rPr>
          <t>, tengan registrado en el campo</t>
        </r>
        <r>
          <rPr>
            <b/>
            <sz val="9"/>
            <color indexed="81"/>
            <rFont val="Tahoma"/>
            <family val="2"/>
          </rPr>
          <t xml:space="preserve"> Pertenece a  Pueblo Indigena </t>
        </r>
        <r>
          <rPr>
            <sz val="9"/>
            <color indexed="81"/>
            <rFont val="Tahoma"/>
            <family val="2"/>
          </rPr>
          <t>el valor</t>
        </r>
        <r>
          <rPr>
            <b/>
            <sz val="9"/>
            <color indexed="81"/>
            <rFont val="Tahoma"/>
            <family val="2"/>
          </rPr>
          <t xml:space="preserve"> si</t>
        </r>
        <r>
          <rPr>
            <sz val="9"/>
            <color indexed="81"/>
            <rFont val="Tahoma"/>
            <family val="2"/>
          </rPr>
          <t xml:space="preserve"> y ademas </t>
        </r>
        <r>
          <rPr>
            <b/>
            <sz val="9"/>
            <color indexed="81"/>
            <rFont val="Tahoma"/>
            <family val="2"/>
          </rPr>
          <t xml:space="preserve">tenga seleccionado algun Pueblo indigena del listado. </t>
        </r>
      </text>
    </comment>
    <comment ref="AP73" authorId="0" shapeId="0" xr:uid="{338018A8-84B8-4E1C-9792-6571AB1C330C}">
      <text>
        <r>
          <rPr>
            <sz val="9"/>
            <color indexed="81"/>
            <rFont val="Tahoma"/>
            <family val="2"/>
          </rPr>
          <t>Se contabilizara a los pacientes que tengan en Módulo Admisión o en Box Pacientes Citados registrado en el</t>
        </r>
        <r>
          <rPr>
            <b/>
            <sz val="9"/>
            <color indexed="81"/>
            <rFont val="Tahoma"/>
            <family val="2"/>
          </rPr>
          <t xml:space="preserve">  </t>
        </r>
        <r>
          <rPr>
            <sz val="9"/>
            <color indexed="81"/>
            <rFont val="Tahoma"/>
            <family val="2"/>
          </rPr>
          <t xml:space="preserve">Item  Alertas Administrativas la opción </t>
        </r>
        <r>
          <rPr>
            <b/>
            <sz val="9"/>
            <color indexed="81"/>
            <rFont val="Tahoma"/>
            <family val="2"/>
          </rPr>
          <t>"MIGRANTES"</t>
        </r>
      </text>
    </comment>
    <comment ref="B76" authorId="6" shapeId="0" xr:uid="{469B371F-DF28-4C68-BCC8-8F57F52AAA0F}">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Enfermedad Pulmonar Crónica?"</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o</t>
        </r>
        <r>
          <rPr>
            <b/>
            <sz val="9"/>
            <color indexed="81"/>
            <rFont val="Tahoma"/>
            <family val="2"/>
          </rPr>
          <t xml:space="preserve"> Reingreso.</t>
        </r>
        <r>
          <rPr>
            <sz val="9"/>
            <color indexed="81"/>
            <rFont val="Tahoma"/>
            <family val="2"/>
          </rPr>
          <t xml:space="preserve"> Y en el campo  </t>
        </r>
        <r>
          <rPr>
            <b/>
            <sz val="9"/>
            <color indexed="81"/>
            <rFont val="Tahoma"/>
            <family val="2"/>
          </rPr>
          <t xml:space="preserve">Tipo EPOC </t>
        </r>
        <r>
          <rPr>
            <sz val="9"/>
            <color indexed="81"/>
            <rFont val="Tahoma"/>
            <family val="2"/>
          </rPr>
          <t xml:space="preserve">el valor </t>
        </r>
        <r>
          <rPr>
            <b/>
            <sz val="9"/>
            <color indexed="81"/>
            <rFont val="Tahoma"/>
            <family val="2"/>
          </rPr>
          <t>Tipo A</t>
        </r>
        <r>
          <rPr>
            <sz val="9"/>
            <color indexed="81"/>
            <rFont val="Tahoma"/>
            <family val="2"/>
          </rPr>
          <t xml:space="preserve"> o </t>
        </r>
        <r>
          <rPr>
            <b/>
            <sz val="9"/>
            <color indexed="81"/>
            <rFont val="Tahoma"/>
            <family val="2"/>
          </rPr>
          <t>B.</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paciente tenga registrado el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xml:space="preserve"> no debe superar el tiempo de inasistencia.</t>
        </r>
      </text>
    </comment>
    <comment ref="B77" authorId="6" shapeId="0" xr:uid="{04642382-E60E-44C8-AFBF-05A995DDF650}">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Enfermedad Pulmonar Crónica?"</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 o Seguimiento o Reingreso.</t>
        </r>
        <r>
          <rPr>
            <sz val="9"/>
            <color indexed="81"/>
            <rFont val="Tahoma"/>
            <family val="2"/>
          </rPr>
          <t xml:space="preserve"> Y en el campo  </t>
        </r>
        <r>
          <rPr>
            <b/>
            <sz val="9"/>
            <color indexed="81"/>
            <rFont val="Tahoma"/>
            <family val="2"/>
          </rPr>
          <t xml:space="preserve">Tipo EPOC </t>
        </r>
        <r>
          <rPr>
            <sz val="9"/>
            <color indexed="81"/>
            <rFont val="Tahoma"/>
            <family val="2"/>
          </rPr>
          <t xml:space="preserve">el valor </t>
        </r>
        <r>
          <rPr>
            <b/>
            <sz val="9"/>
            <color indexed="81"/>
            <rFont val="Tahoma"/>
            <family val="2"/>
          </rPr>
          <t>Tipo A</t>
        </r>
        <r>
          <rPr>
            <sz val="9"/>
            <color indexed="81"/>
            <rFont val="Tahoma"/>
            <family val="2"/>
          </rPr>
          <t xml:space="preserve"> o </t>
        </r>
        <r>
          <rPr>
            <b/>
            <sz val="9"/>
            <color indexed="81"/>
            <rFont val="Tahoma"/>
            <family val="2"/>
          </rPr>
          <t>B.</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Reevaluación Anual</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Mejora en relación a año anterior</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t>
        </r>
        <r>
          <rPr>
            <b/>
            <sz val="9"/>
            <color indexed="81"/>
            <rFont val="Tahoma"/>
            <family val="2"/>
          </rPr>
          <t xml:space="preserve"> fecha de Proximo control</t>
        </r>
        <r>
          <rPr>
            <sz val="9"/>
            <color indexed="81"/>
            <rFont val="Tahoma"/>
            <family val="2"/>
          </rPr>
          <t>, no debe superar el tiempo de inasistencia.</t>
        </r>
      </text>
    </comment>
    <comment ref="B78" authorId="6" shapeId="0" xr:uid="{565D49FE-8C4C-452A-84A3-F050D5DB8CB7}">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Enfermedad Pulmonar Crónica?"</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 o Seguimiento o Reingreso.</t>
        </r>
        <r>
          <rPr>
            <sz val="9"/>
            <color indexed="81"/>
            <rFont val="Tahoma"/>
            <family val="2"/>
          </rPr>
          <t xml:space="preserve"> Y en el campo  </t>
        </r>
        <r>
          <rPr>
            <b/>
            <sz val="9"/>
            <color indexed="81"/>
            <rFont val="Tahoma"/>
            <family val="2"/>
          </rPr>
          <t xml:space="preserve">Tipo EPOC </t>
        </r>
        <r>
          <rPr>
            <sz val="9"/>
            <color indexed="81"/>
            <rFont val="Tahoma"/>
            <family val="2"/>
          </rPr>
          <t xml:space="preserve">el valor </t>
        </r>
        <r>
          <rPr>
            <b/>
            <sz val="9"/>
            <color indexed="81"/>
            <rFont val="Tahoma"/>
            <family val="2"/>
          </rPr>
          <t>Tipo A</t>
        </r>
        <r>
          <rPr>
            <sz val="9"/>
            <color indexed="81"/>
            <rFont val="Tahoma"/>
            <family val="2"/>
          </rPr>
          <t xml:space="preserve"> o </t>
        </r>
        <r>
          <rPr>
            <b/>
            <sz val="9"/>
            <color indexed="81"/>
            <rFont val="Tahoma"/>
            <family val="2"/>
          </rPr>
          <t>B.</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Reevaluación Anual</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No mejora en relación a año anterior</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no debe superar el tiempo de inasistencia.</t>
        </r>
      </text>
    </comment>
    <comment ref="B79" authorId="6" shapeId="0" xr:uid="{C04D7EB1-E2E0-4134-87F9-F7DFCC0CA4D0}">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de Asma Bronquial?"</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 en el campo  </t>
        </r>
        <r>
          <rPr>
            <b/>
            <sz val="9"/>
            <color indexed="81"/>
            <rFont val="Tahoma"/>
            <family val="2"/>
          </rPr>
          <t xml:space="preserve">Gravedad Asma Bronquial </t>
        </r>
        <r>
          <rPr>
            <sz val="9"/>
            <color indexed="81"/>
            <rFont val="Tahoma"/>
            <family val="2"/>
          </rPr>
          <t xml:space="preserve">el valor </t>
        </r>
        <r>
          <rPr>
            <b/>
            <sz val="9"/>
            <color indexed="81"/>
            <rFont val="Tahoma"/>
            <family val="2"/>
          </rPr>
          <t xml:space="preserve">Leve </t>
        </r>
        <r>
          <rPr>
            <sz val="9"/>
            <color indexed="81"/>
            <rFont val="Tahoma"/>
            <family val="2"/>
          </rPr>
          <t xml:space="preserve">ó </t>
        </r>
        <r>
          <rPr>
            <b/>
            <sz val="9"/>
            <color indexed="81"/>
            <rFont val="Tahoma"/>
            <family val="2"/>
          </rPr>
          <t xml:space="preserve">Moderado </t>
        </r>
        <r>
          <rPr>
            <sz val="9"/>
            <color indexed="81"/>
            <rFont val="Tahoma"/>
            <family val="2"/>
          </rPr>
          <t>ó</t>
        </r>
        <r>
          <rPr>
            <b/>
            <sz val="9"/>
            <color indexed="81"/>
            <rFont val="Tahoma"/>
            <family val="2"/>
          </rPr>
          <t xml:space="preserve"> Severo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xml:space="preserve"> no debe superar el tiempo de inasistencia.</t>
        </r>
      </text>
    </comment>
    <comment ref="B80" authorId="6" shapeId="0" xr:uid="{EAF16E7A-73D3-45F5-9720-71670F21878E}">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de Asma Bronquial?"</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 en el campo  </t>
        </r>
        <r>
          <rPr>
            <b/>
            <sz val="9"/>
            <color indexed="81"/>
            <rFont val="Tahoma"/>
            <family val="2"/>
          </rPr>
          <t xml:space="preserve">Gravedad Asma Bronquial </t>
        </r>
        <r>
          <rPr>
            <sz val="9"/>
            <color indexed="81"/>
            <rFont val="Tahoma"/>
            <family val="2"/>
          </rPr>
          <t xml:space="preserve">el valor </t>
        </r>
        <r>
          <rPr>
            <b/>
            <sz val="9"/>
            <color indexed="81"/>
            <rFont val="Tahoma"/>
            <family val="2"/>
          </rPr>
          <t xml:space="preserve">Leve </t>
        </r>
        <r>
          <rPr>
            <sz val="9"/>
            <color indexed="81"/>
            <rFont val="Tahoma"/>
            <family val="2"/>
          </rPr>
          <t xml:space="preserve">ó </t>
        </r>
        <r>
          <rPr>
            <b/>
            <sz val="9"/>
            <color indexed="81"/>
            <rFont val="Tahoma"/>
            <family val="2"/>
          </rPr>
          <t xml:space="preserve">Moderado </t>
        </r>
        <r>
          <rPr>
            <sz val="9"/>
            <color indexed="81"/>
            <rFont val="Tahoma"/>
            <family val="2"/>
          </rPr>
          <t>ó</t>
        </r>
        <r>
          <rPr>
            <b/>
            <sz val="9"/>
            <color indexed="81"/>
            <rFont val="Tahoma"/>
            <family val="2"/>
          </rPr>
          <t xml:space="preserve"> Severo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 xml:space="preserve">Reevaluación Anual </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 xml:space="preserve">Mejora en relación a año anterior
</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xml:space="preserve"> no debe superar el tiempo de inasistencia.</t>
        </r>
      </text>
    </comment>
    <comment ref="B81" authorId="6" shapeId="0" xr:uid="{01D41D70-9C07-4ACF-A9FB-7D6F7A83F19B}">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de Asma Bronquial?"</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 en el campo  </t>
        </r>
        <r>
          <rPr>
            <b/>
            <sz val="9"/>
            <color indexed="81"/>
            <rFont val="Tahoma"/>
            <family val="2"/>
          </rPr>
          <t xml:space="preserve">Gravedad Asma Bronquial </t>
        </r>
        <r>
          <rPr>
            <sz val="9"/>
            <color indexed="81"/>
            <rFont val="Tahoma"/>
            <family val="2"/>
          </rPr>
          <t xml:space="preserve">el valor </t>
        </r>
        <r>
          <rPr>
            <b/>
            <sz val="9"/>
            <color indexed="81"/>
            <rFont val="Tahoma"/>
            <family val="2"/>
          </rPr>
          <t xml:space="preserve">Leve </t>
        </r>
        <r>
          <rPr>
            <sz val="9"/>
            <color indexed="81"/>
            <rFont val="Tahoma"/>
            <family val="2"/>
          </rPr>
          <t xml:space="preserve">ó </t>
        </r>
        <r>
          <rPr>
            <b/>
            <sz val="9"/>
            <color indexed="81"/>
            <rFont val="Tahoma"/>
            <family val="2"/>
          </rPr>
          <t xml:space="preserve">Moderado </t>
        </r>
        <r>
          <rPr>
            <sz val="9"/>
            <color indexed="81"/>
            <rFont val="Tahoma"/>
            <family val="2"/>
          </rPr>
          <t>ó</t>
        </r>
        <r>
          <rPr>
            <b/>
            <sz val="9"/>
            <color indexed="81"/>
            <rFont val="Tahoma"/>
            <family val="2"/>
          </rPr>
          <t xml:space="preserve"> Severo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 xml:space="preserve">Reevaluación Anual </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No mejora en relación a año anterior</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t>
        </r>
        <r>
          <rPr>
            <b/>
            <sz val="9"/>
            <color indexed="81"/>
            <rFont val="Tahoma"/>
            <family val="2"/>
          </rPr>
          <t xml:space="preserve"> fecha de Proximo control,</t>
        </r>
        <r>
          <rPr>
            <sz val="9"/>
            <color indexed="81"/>
            <rFont val="Tahoma"/>
            <family val="2"/>
          </rPr>
          <t xml:space="preserve"> no debe superar el tiempo de inasistencia.</t>
        </r>
      </text>
    </comment>
    <comment ref="B82" authorId="6" shapeId="0" xr:uid="{B7595F11-C8A7-46FD-8128-68D6B6C18136}">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Otras Enfermedades Respiratorias?"</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no debe superar el tiempo de inasistencia.</t>
        </r>
      </text>
    </comment>
    <comment ref="B83" authorId="6" shapeId="0" xr:uid="{F8723CD7-31F2-485B-8AFF-FD5D2E6154FD}">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Otras Enfermedades Respiratorias?"</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 xml:space="preserve">Reevaluación Anual 
</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Mejora en relación a año anterior</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no debe superar el tiempo de inasistencia.</t>
        </r>
      </text>
    </comment>
    <comment ref="B84" authorId="6" shapeId="0" xr:uid="{35983B0A-025B-4611-B9F9-4C5F70D6288B}">
      <text>
        <r>
          <rPr>
            <sz val="9"/>
            <color indexed="81"/>
            <rFont val="Tahoma"/>
            <family val="2"/>
          </rPr>
          <t xml:space="preserve">
Este dato aparecerá luego de que en la atención </t>
        </r>
        <r>
          <rPr>
            <b/>
            <sz val="9"/>
            <color indexed="81"/>
            <rFont val="Tahoma"/>
            <family val="2"/>
          </rPr>
          <t>Registrada Modulo box, Pacientes Citados o Agregar documentos a una atención</t>
        </r>
        <r>
          <rPr>
            <sz val="9"/>
            <color indexed="81"/>
            <rFont val="Tahoma"/>
            <family val="2"/>
          </rPr>
          <t xml:space="preserve"> el profesional registre lo siguiente; 
El paciente debe pertenecer al programa y tener registrado  </t>
        </r>
        <r>
          <rPr>
            <b/>
            <sz val="9"/>
            <color indexed="81"/>
            <rFont val="Tahoma"/>
            <family val="2"/>
          </rPr>
          <t>Formulario de Control de Otros Programas de Salud</t>
        </r>
        <r>
          <rPr>
            <sz val="9"/>
            <color indexed="81"/>
            <rFont val="Tahoma"/>
            <family val="2"/>
          </rPr>
          <t xml:space="preserve"> el campo  </t>
        </r>
        <r>
          <rPr>
            <b/>
            <sz val="9"/>
            <color indexed="81"/>
            <rFont val="Tahoma"/>
            <family val="2"/>
          </rPr>
          <t>"¿Padece Otras Enfermedades Respiratorias?"</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con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la sección </t>
        </r>
        <r>
          <rPr>
            <b/>
            <sz val="9"/>
            <color indexed="81"/>
            <rFont val="Tahoma"/>
            <family val="2"/>
          </rPr>
          <t xml:space="preserve">Encuesta Calidad de Vida </t>
        </r>
        <r>
          <rPr>
            <sz val="9"/>
            <color indexed="81"/>
            <rFont val="Tahoma"/>
            <family val="2"/>
          </rPr>
          <t xml:space="preserve"> el paceinte tenga registrado el  </t>
        </r>
        <r>
          <rPr>
            <b/>
            <sz val="9"/>
            <color indexed="81"/>
            <rFont val="Tahoma"/>
            <family val="2"/>
          </rPr>
          <t>Estado</t>
        </r>
        <r>
          <rPr>
            <sz val="9"/>
            <color indexed="81"/>
            <rFont val="Tahoma"/>
            <family val="2"/>
          </rPr>
          <t xml:space="preserve"> con el valor </t>
        </r>
        <r>
          <rPr>
            <b/>
            <sz val="9"/>
            <color indexed="81"/>
            <rFont val="Tahoma"/>
            <family val="2"/>
          </rPr>
          <t xml:space="preserve">Reevaluación Anual 
</t>
        </r>
        <r>
          <rPr>
            <sz val="9"/>
            <color indexed="81"/>
            <rFont val="Tahoma"/>
            <family val="2"/>
          </rPr>
          <t xml:space="preserve">  y el campo  </t>
        </r>
        <r>
          <rPr>
            <b/>
            <sz val="9"/>
            <color indexed="81"/>
            <rFont val="Tahoma"/>
            <family val="2"/>
          </rPr>
          <t>Resultado</t>
        </r>
        <r>
          <rPr>
            <sz val="9"/>
            <color indexed="81"/>
            <rFont val="Tahoma"/>
            <family val="2"/>
          </rPr>
          <t xml:space="preserve">  con el valor </t>
        </r>
        <r>
          <rPr>
            <b/>
            <sz val="9"/>
            <color indexed="81"/>
            <rFont val="Tahoma"/>
            <family val="2"/>
          </rPr>
          <t>No mejora en relación a año anterior</t>
        </r>
        <r>
          <rPr>
            <sz val="9"/>
            <color indexed="81"/>
            <rFont val="Tahoma"/>
            <family val="2"/>
          </rPr>
          <t xml:space="preserve">
además  tenga registrado durante el semestre la actividad: </t>
        </r>
        <r>
          <rPr>
            <b/>
            <sz val="9"/>
            <color indexed="81"/>
            <rFont val="Tahoma"/>
            <family val="2"/>
          </rPr>
          <t xml:space="preserve">Aplicación Encuesta Calidad de Vida. </t>
        </r>
        <r>
          <rPr>
            <sz val="9"/>
            <color indexed="81"/>
            <rFont val="Tahoma"/>
            <family val="2"/>
          </rPr>
          <t xml:space="preserve">
y  la </t>
        </r>
        <r>
          <rPr>
            <b/>
            <sz val="9"/>
            <color indexed="81"/>
            <rFont val="Tahoma"/>
            <family val="2"/>
          </rPr>
          <t>fecha de Proximo control,</t>
        </r>
        <r>
          <rPr>
            <sz val="9"/>
            <color indexed="81"/>
            <rFont val="Tahoma"/>
            <family val="2"/>
          </rPr>
          <t xml:space="preserve"> no debe superar el tiempo de inasistencia.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Nicole Cisternas</author>
    <author>azavala</author>
    <author>John San Martin Retamal</author>
    <author>fmenares</author>
    <author>Ines Kohnenkamp</author>
    <author>Wilma Salinas</author>
  </authors>
  <commentList>
    <comment ref="AH9" authorId="0" shapeId="0" xr:uid="{4961598D-5394-4B68-AADB-1B249A4FAAAA}">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o en </t>
        </r>
        <r>
          <rPr>
            <b/>
            <sz val="9"/>
            <color indexed="81"/>
            <rFont val="Tahoma"/>
            <family val="2"/>
          </rPr>
          <t xml:space="preserve">Box - Pacientes Citados </t>
        </r>
        <r>
          <rPr>
            <sz val="9"/>
            <color indexed="81"/>
            <rFont val="Tahoma"/>
            <family val="2"/>
          </rPr>
          <t xml:space="preserve">el paciente indique un </t>
        </r>
        <r>
          <rPr>
            <b/>
            <sz val="9"/>
            <color indexed="81"/>
            <rFont val="Tahoma"/>
            <family val="2"/>
          </rPr>
          <t>Pueblo Indigena</t>
        </r>
        <r>
          <rPr>
            <sz val="9"/>
            <color indexed="81"/>
            <rFont val="Tahoma"/>
            <family val="2"/>
          </rPr>
          <t xml:space="preserve">
</t>
        </r>
      </text>
    </comment>
    <comment ref="AJ9" authorId="0" shapeId="0" xr:uid="{6902951A-C139-4081-B099-B69E7AE61D0A}">
      <text>
        <r>
          <rPr>
            <sz val="9"/>
            <color indexed="81"/>
            <rFont val="Tahoma"/>
            <family val="2"/>
          </rPr>
          <t>Se contabilizara a los pacientes que tengan en Admisión - usuario "Alerta Administrativa" o Box - Pacientes Citados - "Alertas Administrativas"</t>
        </r>
        <r>
          <rPr>
            <b/>
            <sz val="9"/>
            <color indexed="81"/>
            <rFont val="Tahoma"/>
            <family val="2"/>
          </rPr>
          <t xml:space="preserve">  "MIGRANTES"</t>
        </r>
        <r>
          <rPr>
            <sz val="9"/>
            <color indexed="81"/>
            <rFont val="Tahoma"/>
            <family val="2"/>
          </rPr>
          <t xml:space="preserve">
</t>
        </r>
      </text>
    </comment>
    <comment ref="C12" authorId="1" shapeId="0" xr:uid="{F246A252-202D-4BC7-A3D3-942EBDF811F8}">
      <text>
        <r>
          <rPr>
            <sz val="9"/>
            <color indexed="81"/>
            <rFont val="Tahoma"/>
            <family val="2"/>
          </rPr>
          <t xml:space="preserve">Este dato aparecerá  luego de que en la atención registrada en Módulo de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 xml:space="preserve">"SALUD CARDIOVASCULAR INTEGRAL" </t>
        </r>
        <r>
          <rPr>
            <sz val="9"/>
            <color indexed="81"/>
            <rFont val="Tahoma"/>
            <family val="2"/>
          </rPr>
          <t>alguno de los siguientes datos</t>
        </r>
        <r>
          <rPr>
            <b/>
            <sz val="9"/>
            <color indexed="81"/>
            <rFont val="Tahoma"/>
            <family val="2"/>
          </rPr>
          <t xml:space="preserve">;
</t>
        </r>
        <r>
          <rPr>
            <sz val="9"/>
            <color indexed="81"/>
            <rFont val="Tahoma"/>
            <family val="2"/>
          </rPr>
          <t xml:space="preserve">
-  En Sección </t>
        </r>
        <r>
          <rPr>
            <b/>
            <sz val="9"/>
            <color indexed="81"/>
            <rFont val="Tahoma"/>
            <family val="2"/>
          </rPr>
          <t>3.- PATOLOGÍAS / ANTECEDENTES MÓRBIDOS</t>
        </r>
        <r>
          <rPr>
            <sz val="9"/>
            <color indexed="81"/>
            <rFont val="Tahoma"/>
            <family val="2"/>
          </rPr>
          <t xml:space="preserve">  en el Campo Tiene </t>
        </r>
        <r>
          <rPr>
            <b/>
            <sz val="9"/>
            <color indexed="81"/>
            <rFont val="Tahoma"/>
            <family val="2"/>
          </rPr>
          <t>Hipertensión Arterial</t>
        </r>
        <r>
          <rPr>
            <sz val="9"/>
            <color indexed="81"/>
            <rFont val="Tahoma"/>
            <family val="2"/>
          </rPr>
          <t>, la opción</t>
        </r>
        <r>
          <rPr>
            <b/>
            <sz val="9"/>
            <color indexed="81"/>
            <rFont val="Tahoma"/>
            <family val="2"/>
          </rPr>
          <t xml:space="preserve"> 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y/ó
-  En Sección </t>
        </r>
        <r>
          <rPr>
            <b/>
            <sz val="9"/>
            <color indexed="81"/>
            <rFont val="Tahoma"/>
            <family val="2"/>
          </rPr>
          <t xml:space="preserve">3.- PATOLOGÍAS / ANTECEDENTES MÓRBIDOS </t>
        </r>
        <r>
          <rPr>
            <sz val="9"/>
            <color indexed="81"/>
            <rFont val="Tahoma"/>
            <family val="2"/>
          </rPr>
          <t xml:space="preserve"> en el Campo </t>
        </r>
        <r>
          <rPr>
            <b/>
            <sz val="9"/>
            <color indexed="81"/>
            <rFont val="Tahoma"/>
            <family val="2"/>
          </rPr>
          <t>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t>
        </r>
        <r>
          <rPr>
            <b/>
            <sz val="9"/>
            <color indexed="81"/>
            <rFont val="Tahoma"/>
            <family val="2"/>
          </rPr>
          <t xml:space="preserve"> Ingreso </t>
        </r>
        <r>
          <rPr>
            <sz val="9"/>
            <color indexed="81"/>
            <rFont val="Tahoma"/>
            <family val="2"/>
          </rPr>
          <t xml:space="preserve">o </t>
        </r>
        <r>
          <rPr>
            <b/>
            <sz val="9"/>
            <color indexed="81"/>
            <rFont val="Tahoma"/>
            <family val="2"/>
          </rPr>
          <t>Seguimiento</t>
        </r>
        <r>
          <rPr>
            <sz val="9"/>
            <color indexed="81"/>
            <rFont val="Tahoma"/>
            <family val="2"/>
          </rPr>
          <t xml:space="preserve">
y/ó
-  En Sección</t>
        </r>
        <r>
          <rPr>
            <b/>
            <sz val="9"/>
            <color indexed="81"/>
            <rFont val="Tahoma"/>
            <family val="2"/>
          </rPr>
          <t xml:space="preserve"> 3.- PATOLOGÍAS / ANTECEDENTES MÓRBIDOS</t>
        </r>
        <r>
          <rPr>
            <sz val="9"/>
            <color indexed="81"/>
            <rFont val="Tahoma"/>
            <family val="2"/>
          </rPr>
          <t xml:space="preserve">  en el Campo </t>
        </r>
        <r>
          <rPr>
            <b/>
            <sz val="9"/>
            <color indexed="81"/>
            <rFont val="Tahoma"/>
            <family val="2"/>
          </rPr>
          <t>Tiene Dislipidemia</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 xml:space="preserve">Ingreso </t>
        </r>
        <r>
          <rPr>
            <sz val="9"/>
            <color indexed="81"/>
            <rFont val="Tahoma"/>
            <family val="2"/>
          </rPr>
          <t xml:space="preserve">o </t>
        </r>
        <r>
          <rPr>
            <b/>
            <sz val="9"/>
            <color indexed="81"/>
            <rFont val="Tahoma"/>
            <family val="2"/>
          </rPr>
          <t xml:space="preserve">Seguimiento
</t>
        </r>
        <r>
          <rPr>
            <sz val="9"/>
            <color indexed="81"/>
            <rFont val="Tahoma"/>
            <family val="2"/>
          </rPr>
          <t xml:space="preserve"> - En Secció</t>
        </r>
        <r>
          <rPr>
            <b/>
            <sz val="9"/>
            <color indexed="81"/>
            <rFont val="Tahoma"/>
            <family val="2"/>
          </rPr>
          <t xml:space="preserve">n 3.- PATOLOGÍAS / ANTECEDENTES MÓRBIDOS </t>
        </r>
        <r>
          <rPr>
            <sz val="9"/>
            <color indexed="81"/>
            <rFont val="Tahoma"/>
            <family val="2"/>
          </rPr>
          <t xml:space="preserve"> en el Campo</t>
        </r>
        <r>
          <rPr>
            <b/>
            <sz val="9"/>
            <color indexed="81"/>
            <rFont val="Tahoma"/>
            <family val="2"/>
          </rPr>
          <t xml:space="preserve"> Tabaquismo Actual , </t>
        </r>
        <r>
          <rPr>
            <sz val="9"/>
            <color indexed="81"/>
            <rFont val="Tahoma"/>
            <family val="2"/>
          </rPr>
          <t>la opción</t>
        </r>
        <r>
          <rPr>
            <b/>
            <sz val="9"/>
            <color indexed="81"/>
            <rFont val="Tahoma"/>
            <family val="2"/>
          </rPr>
          <t xml:space="preserve"> SI y </t>
        </r>
        <r>
          <rPr>
            <sz val="9"/>
            <color indexed="81"/>
            <rFont val="Tahoma"/>
            <family val="2"/>
          </rPr>
          <t>en campo</t>
        </r>
        <r>
          <rPr>
            <b/>
            <sz val="9"/>
            <color indexed="81"/>
            <rFont val="Tahoma"/>
            <family val="2"/>
          </rPr>
          <t xml:space="preserve"> Estado </t>
        </r>
        <r>
          <rPr>
            <sz val="9"/>
            <color indexed="81"/>
            <rFont val="Tahoma"/>
            <family val="2"/>
          </rPr>
          <t>el valor</t>
        </r>
        <r>
          <rPr>
            <b/>
            <sz val="9"/>
            <color indexed="81"/>
            <rFont val="Tahoma"/>
            <family val="2"/>
          </rPr>
          <t xml:space="preserve"> Ingreso </t>
        </r>
        <r>
          <rPr>
            <sz val="9"/>
            <color indexed="81"/>
            <rFont val="Tahoma"/>
            <family val="2"/>
          </rPr>
          <t>o</t>
        </r>
        <r>
          <rPr>
            <b/>
            <sz val="9"/>
            <color indexed="81"/>
            <rFont val="Tahoma"/>
            <family val="2"/>
          </rPr>
          <t xml:space="preserve"> Seguimiento.(Se contabilizará solo en personas mayores o igual a 55 años)
</t>
        </r>
        <r>
          <rPr>
            <sz val="9"/>
            <color indexed="81"/>
            <rFont val="Tahoma"/>
            <family val="2"/>
          </rPr>
          <t xml:space="preserve">y/ó
 -   En Sección </t>
        </r>
        <r>
          <rPr>
            <b/>
            <sz val="9"/>
            <color indexed="81"/>
            <rFont val="Tahoma"/>
            <family val="2"/>
          </rPr>
          <t>3.- PATOLOGÍAS / ANTECEDENTES MÓRBIDOS</t>
        </r>
        <r>
          <rPr>
            <sz val="9"/>
            <color indexed="81"/>
            <rFont val="Tahoma"/>
            <family val="2"/>
          </rPr>
          <t xml:space="preserve">  en el Campo</t>
        </r>
        <r>
          <rPr>
            <b/>
            <sz val="9"/>
            <color indexed="81"/>
            <rFont val="Tahoma"/>
            <family val="2"/>
          </rPr>
          <t xml:space="preserve"> ¿Tiene Antecedentes Enf. Cardiovascular Aterosclerótica?</t>
        </r>
        <r>
          <rPr>
            <sz val="9"/>
            <color indexed="81"/>
            <rFont val="Tahoma"/>
            <family val="2"/>
          </rPr>
          <t xml:space="preserve"> valor</t>
        </r>
        <r>
          <rPr>
            <b/>
            <sz val="9"/>
            <color indexed="81"/>
            <rFont val="Tahoma"/>
            <family val="2"/>
          </rPr>
          <t xml:space="preserve"> SI,</t>
        </r>
        <r>
          <rPr>
            <sz val="9"/>
            <color indexed="81"/>
            <rFont val="Tahoma"/>
            <family val="2"/>
          </rPr>
          <t xml:space="preserve"> y en el Campo Estado valor </t>
        </r>
        <r>
          <rPr>
            <b/>
            <sz val="9"/>
            <color indexed="81"/>
            <rFont val="Tahoma"/>
            <family val="2"/>
          </rPr>
          <t>Ingreso o Seguimiento</t>
        </r>
        <r>
          <rPr>
            <sz val="9"/>
            <color indexed="81"/>
            <rFont val="Tahoma"/>
            <family val="2"/>
          </rPr>
          <t xml:space="preserve">
y/ó
Y Además en </t>
        </r>
        <r>
          <rPr>
            <b/>
            <sz val="9"/>
            <color indexed="81"/>
            <rFont val="Tahoma"/>
            <family val="2"/>
          </rPr>
          <t>Sección 4.- COMPLICACIONES</t>
        </r>
        <r>
          <rPr>
            <sz val="9"/>
            <color indexed="81"/>
            <rFont val="Tahoma"/>
            <family val="2"/>
          </rPr>
          <t xml:space="preserve"> en el campo </t>
        </r>
        <r>
          <rPr>
            <b/>
            <sz val="9"/>
            <color indexed="81"/>
            <rFont val="Tahoma"/>
            <family val="2"/>
          </rPr>
          <t>¿Ha presentado IAM?</t>
        </r>
        <r>
          <rPr>
            <sz val="9"/>
            <color indexed="81"/>
            <rFont val="Tahoma"/>
            <family val="2"/>
          </rPr>
          <t xml:space="preserve"> el valor</t>
        </r>
        <r>
          <rPr>
            <b/>
            <sz val="9"/>
            <color indexed="81"/>
            <rFont val="Tahoma"/>
            <family val="2"/>
          </rPr>
          <t xml:space="preserve"> SI </t>
        </r>
        <r>
          <rPr>
            <sz val="9"/>
            <color indexed="81"/>
            <rFont val="Tahoma"/>
            <family val="2"/>
          </rPr>
          <t>o en campo</t>
        </r>
        <r>
          <rPr>
            <b/>
            <sz val="9"/>
            <color indexed="81"/>
            <rFont val="Tahoma"/>
            <family val="2"/>
          </rPr>
          <t xml:space="preserve"> ¿Ha presentado ACV? </t>
        </r>
        <r>
          <rPr>
            <sz val="9"/>
            <color indexed="81"/>
            <rFont val="Tahoma"/>
            <family val="2"/>
          </rPr>
          <t>el valor</t>
        </r>
        <r>
          <rPr>
            <b/>
            <sz val="9"/>
            <color indexed="81"/>
            <rFont val="Tahoma"/>
            <family val="2"/>
          </rPr>
          <t xml:space="preserve"> SI.
- </t>
        </r>
        <r>
          <rPr>
            <sz val="9"/>
            <color indexed="81"/>
            <rFont val="Tahoma"/>
            <family val="2"/>
          </rPr>
          <t xml:space="preserve">En la sección </t>
        </r>
        <r>
          <rPr>
            <b/>
            <sz val="9"/>
            <color indexed="81"/>
            <rFont val="Tahoma"/>
            <family val="2"/>
          </rPr>
          <t xml:space="preserve">8.- DERC - Detección y Prevención de la Progresión de la Enfermedad Renal Crónica, </t>
        </r>
        <r>
          <rPr>
            <sz val="9"/>
            <color indexed="81"/>
            <rFont val="Tahoma"/>
            <family val="2"/>
          </rPr>
          <t xml:space="preserve">una de las opcione en Campo </t>
        </r>
        <r>
          <rPr>
            <b/>
            <sz val="9"/>
            <color indexed="81"/>
            <rFont val="Tahoma"/>
            <family val="2"/>
          </rPr>
          <t xml:space="preserve">Enfermedad Renal Crónica y </t>
        </r>
        <r>
          <rPr>
            <sz val="9"/>
            <color indexed="81"/>
            <rFont val="Tahoma"/>
            <family val="2"/>
          </rPr>
          <t>además en campo</t>
        </r>
        <r>
          <rPr>
            <b/>
            <sz val="9"/>
            <color indexed="81"/>
            <rFont val="Tahoma"/>
            <family val="2"/>
          </rPr>
          <t xml:space="preserve"> Estado ERC</t>
        </r>
        <r>
          <rPr>
            <sz val="9"/>
            <color indexed="81"/>
            <rFont val="Tahoma"/>
            <family val="2"/>
          </rPr>
          <t xml:space="preserve"> el valor </t>
        </r>
        <r>
          <rPr>
            <b/>
            <sz val="9"/>
            <color indexed="81"/>
            <rFont val="Tahoma"/>
            <family val="2"/>
          </rPr>
          <t xml:space="preserve">Ingreso o seguimiento
</t>
        </r>
        <r>
          <rPr>
            <sz val="9"/>
            <color indexed="81"/>
            <rFont val="Tahoma"/>
            <family val="2"/>
          </rPr>
          <t>Además los pacientes debe tener registrado el</t>
        </r>
        <r>
          <rPr>
            <b/>
            <sz val="9"/>
            <color indexed="81"/>
            <rFont val="Tahoma"/>
            <family val="2"/>
          </rPr>
          <t xml:space="preserve"> Riesgo Cardiovascular o Riesgo Cardiovascular por Framingham el valor "Bajo", "Moderado" o "Alto"</t>
        </r>
        <r>
          <rPr>
            <sz val="9"/>
            <color indexed="81"/>
            <rFont val="Tahoma"/>
            <family val="2"/>
          </rPr>
          <t>.</t>
        </r>
        <r>
          <rPr>
            <b/>
            <sz val="9"/>
            <color indexed="81"/>
            <rFont val="Tahoma"/>
            <family val="2"/>
          </rPr>
          <t xml:space="preserve"> 
</t>
        </r>
        <r>
          <rPr>
            <sz val="9"/>
            <color indexed="81"/>
            <rFont val="Tahoma"/>
            <family val="2"/>
          </rPr>
          <t>Y además en campo</t>
        </r>
        <r>
          <rPr>
            <b/>
            <sz val="9"/>
            <color indexed="81"/>
            <rFont val="Tahoma"/>
            <family val="2"/>
          </rPr>
          <t xml:space="preserve"> "Fecha Próximo Control" </t>
        </r>
        <r>
          <rPr>
            <sz val="9"/>
            <color indexed="81"/>
            <rFont val="Tahoma"/>
            <family val="2"/>
          </rPr>
          <t xml:space="preserve"> tenga registrada una fecha aproximada de su proxima Citación al programa.</t>
        </r>
        <r>
          <rPr>
            <b/>
            <sz val="9"/>
            <color indexed="81"/>
            <rFont val="Tahoma"/>
            <family val="2"/>
          </rPr>
          <t xml:space="preserve">
</t>
        </r>
        <r>
          <rPr>
            <sz val="9"/>
            <color indexed="81"/>
            <rFont val="Tahoma"/>
            <family val="2"/>
          </rPr>
          <t xml:space="preserv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17"/>
            <rFont val="Tahoma"/>
            <family val="2"/>
          </rPr>
          <t xml:space="preserve">
</t>
        </r>
      </text>
    </comment>
    <comment ref="C13" authorId="1" shapeId="0" xr:uid="{1EC9CE9A-811C-4192-86E8-FEF59F71E3F1}">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t>
        </r>
        <r>
          <rPr>
            <b/>
            <sz val="9"/>
            <color indexed="81"/>
            <rFont val="Tahoma"/>
            <family val="2"/>
          </rPr>
          <t xml:space="preserve"> Formulario Clínico: "SALUD CARDIOVASCULAR INTEGRAL"</t>
        </r>
        <r>
          <rPr>
            <sz val="9"/>
            <color indexed="81"/>
            <rFont val="Tahoma"/>
            <family val="2"/>
          </rPr>
          <t xml:space="preserve">; en el campo:
 -- </t>
        </r>
        <r>
          <rPr>
            <b/>
            <sz val="9"/>
            <color indexed="81"/>
            <rFont val="Tahoma"/>
            <family val="2"/>
          </rPr>
          <t>Riesgo Cardiovascular</t>
        </r>
        <r>
          <rPr>
            <sz val="9"/>
            <color indexed="81"/>
            <rFont val="Tahoma"/>
            <family val="2"/>
          </rPr>
          <t xml:space="preserve"> o </t>
        </r>
        <r>
          <rPr>
            <b/>
            <sz val="9"/>
            <color indexed="81"/>
            <rFont val="Tahoma"/>
            <family val="2"/>
          </rPr>
          <t>Riesgo Cardiovascular por Framingham</t>
        </r>
        <r>
          <rPr>
            <sz val="9"/>
            <color indexed="81"/>
            <rFont val="Tahoma"/>
            <family val="2"/>
          </rPr>
          <t xml:space="preserve"> el valor </t>
        </r>
        <r>
          <rPr>
            <b/>
            <sz val="9"/>
            <color indexed="81"/>
            <rFont val="Tahoma"/>
            <family val="2"/>
          </rPr>
          <t xml:space="preserve">"Bajo"  </t>
        </r>
        <r>
          <rPr>
            <sz val="9"/>
            <color indexed="81"/>
            <rFont val="Tahoma"/>
            <family val="2"/>
          </rPr>
          <t xml:space="preserve">y Además en campos </t>
        </r>
        <r>
          <rPr>
            <b/>
            <sz val="9"/>
            <color indexed="81"/>
            <rFont val="Tahoma"/>
            <family val="2"/>
          </rPr>
          <t xml:space="preserve">"Fecha Próximo Control" </t>
        </r>
        <r>
          <rPr>
            <sz val="9"/>
            <color indexed="81"/>
            <rFont val="Tahoma"/>
            <family val="2"/>
          </rPr>
          <t xml:space="preserve"> tenga registrada una fecha aproximada de su proxima citación del programa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4" authorId="1" shapeId="0" xr:uid="{01F2F4BB-74A9-4AF5-B38A-6C6C2F8EE922}">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t>
        </r>
        <r>
          <rPr>
            <b/>
            <sz val="9"/>
            <color indexed="81"/>
            <rFont val="Tahoma"/>
            <family val="2"/>
          </rPr>
          <t>l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El  campo </t>
        </r>
        <r>
          <rPr>
            <b/>
            <sz val="9"/>
            <color indexed="81"/>
            <rFont val="Tahoma"/>
            <family val="2"/>
          </rPr>
          <t xml:space="preserve"> Riesgo Cardiovascular </t>
        </r>
        <r>
          <rPr>
            <sz val="9"/>
            <color indexed="81"/>
            <rFont val="Tahoma"/>
            <family val="2"/>
          </rPr>
          <t xml:space="preserve">o </t>
        </r>
        <r>
          <rPr>
            <b/>
            <sz val="9"/>
            <color indexed="81"/>
            <rFont val="Tahoma"/>
            <family val="2"/>
          </rPr>
          <t>Riesgo Cardiovascular por Framingham</t>
        </r>
        <r>
          <rPr>
            <sz val="9"/>
            <color indexed="81"/>
            <rFont val="Tahoma"/>
            <family val="2"/>
          </rPr>
          <t xml:space="preserve"> tenga el valor </t>
        </r>
        <r>
          <rPr>
            <b/>
            <sz val="9"/>
            <color indexed="81"/>
            <rFont val="Tahoma"/>
            <family val="2"/>
          </rPr>
          <t xml:space="preserve">"Moderado"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proxima citación del programa
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5" authorId="1" shapeId="0" xr:uid="{62047713-1904-42F0-B2A2-C4FBFD903C80}">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t>
        </r>
        <r>
          <rPr>
            <b/>
            <sz val="9"/>
            <color indexed="81"/>
            <rFont val="Tahoma"/>
            <family val="2"/>
          </rPr>
          <t xml:space="preserve"> Riesgo Cardiovascular</t>
        </r>
        <r>
          <rPr>
            <sz val="9"/>
            <color indexed="81"/>
            <rFont val="Tahoma"/>
            <family val="2"/>
          </rPr>
          <t xml:space="preserve"> o</t>
        </r>
        <r>
          <rPr>
            <b/>
            <sz val="9"/>
            <color indexed="81"/>
            <rFont val="Tahoma"/>
            <family val="2"/>
          </rPr>
          <t xml:space="preserve"> Riesgo Cardiovascular por Framingham</t>
        </r>
        <r>
          <rPr>
            <sz val="9"/>
            <color indexed="81"/>
            <rFont val="Tahoma"/>
            <family val="2"/>
          </rPr>
          <t xml:space="preserve"> el valor </t>
        </r>
        <r>
          <rPr>
            <b/>
            <sz val="9"/>
            <color indexed="81"/>
            <rFont val="Tahoma"/>
            <family val="2"/>
          </rPr>
          <t xml:space="preserve">"Alto"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proxims cotaciónl del programa.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6" authorId="1" shapeId="0" xr:uid="{F533A267-84B2-4B59-B2AE-1AED75DEB2B5}">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en el campo:
-  En Sección</t>
        </r>
        <r>
          <rPr>
            <b/>
            <sz val="9"/>
            <color indexed="81"/>
            <rFont val="Tahoma"/>
            <family val="2"/>
          </rPr>
          <t xml:space="preserve"> 3.- PATOLOGÍAS / ANTECEDENTES MÓRBIDOS </t>
        </r>
        <r>
          <rPr>
            <sz val="9"/>
            <color indexed="81"/>
            <rFont val="Tahoma"/>
            <family val="2"/>
          </rPr>
          <t xml:space="preserve"> en el Campo </t>
        </r>
        <r>
          <rPr>
            <b/>
            <sz val="9"/>
            <color indexed="81"/>
            <rFont val="Tahoma"/>
            <family val="2"/>
          </rPr>
          <t>Tiene Hipertensión Arterial,</t>
        </r>
        <r>
          <rPr>
            <sz val="9"/>
            <color indexed="81"/>
            <rFont val="Tahoma"/>
            <family val="2"/>
          </rPr>
          <t xml:space="preserve"> la opción</t>
        </r>
        <r>
          <rPr>
            <b/>
            <sz val="9"/>
            <color indexed="81"/>
            <rFont val="Tahoma"/>
            <family val="2"/>
          </rPr>
          <t xml:space="preserve"> SI </t>
        </r>
        <r>
          <rPr>
            <sz val="9"/>
            <color indexed="81"/>
            <rFont val="Tahoma"/>
            <family val="2"/>
          </rPr>
          <t xml:space="preserve"> y en campo</t>
        </r>
        <r>
          <rPr>
            <b/>
            <sz val="9"/>
            <color indexed="81"/>
            <rFont val="Tahoma"/>
            <family val="2"/>
          </rPr>
          <t xml:space="preserve"> Estado</t>
        </r>
        <r>
          <rPr>
            <sz val="9"/>
            <color indexed="81"/>
            <rFont val="Tahoma"/>
            <family val="2"/>
          </rPr>
          <t xml:space="preserve"> el valor</t>
        </r>
        <r>
          <rPr>
            <b/>
            <sz val="9"/>
            <color indexed="81"/>
            <rFont val="Tahoma"/>
            <family val="2"/>
          </rPr>
          <t xml:space="preserve"> Ingreso </t>
        </r>
        <r>
          <rPr>
            <sz val="9"/>
            <color indexed="81"/>
            <rFont val="Tahoma"/>
            <family val="2"/>
          </rPr>
          <t>o</t>
        </r>
        <r>
          <rPr>
            <b/>
            <sz val="9"/>
            <color indexed="81"/>
            <rFont val="Tahoma"/>
            <family val="2"/>
          </rPr>
          <t xml:space="preserve"> Seguimiento </t>
        </r>
        <r>
          <rPr>
            <sz val="9"/>
            <color indexed="81"/>
            <rFont val="Tahoma"/>
            <family val="2"/>
          </rPr>
          <t xml:space="preserve">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7" authorId="1" shapeId="0" xr:uid="{74DC3F2C-5B74-42E4-8C50-CCEAD97000B2}">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t>
        </r>
        <r>
          <rPr>
            <b/>
            <sz val="9"/>
            <color indexed="81"/>
            <rFont val="Tahoma"/>
            <family val="2"/>
          </rPr>
          <t xml:space="preserve"> 3.- PATOLOGÍAS / ANTECEDENTES MÓRBIDOS  </t>
        </r>
        <r>
          <rPr>
            <sz val="9"/>
            <color indexed="81"/>
            <rFont val="Tahoma"/>
            <family val="2"/>
          </rPr>
          <t xml:space="preserve">en el Campo </t>
        </r>
        <r>
          <rPr>
            <b/>
            <sz val="9"/>
            <color indexed="81"/>
            <rFont val="Tahoma"/>
            <family val="2"/>
          </rPr>
          <t xml:space="preserve">Tiene Diabetes Mellitus 2, </t>
        </r>
        <r>
          <rPr>
            <sz val="9"/>
            <color indexed="81"/>
            <rFont val="Tahoma"/>
            <family val="2"/>
          </rPr>
          <t>la opción</t>
        </r>
        <r>
          <rPr>
            <b/>
            <sz val="9"/>
            <color indexed="81"/>
            <rFont val="Tahoma"/>
            <family val="2"/>
          </rPr>
          <t xml:space="preserve"> SI y </t>
        </r>
        <r>
          <rPr>
            <sz val="9"/>
            <color indexed="81"/>
            <rFont val="Tahoma"/>
            <family val="2"/>
          </rPr>
          <t xml:space="preserve">en campo Estado el valor </t>
        </r>
        <r>
          <rPr>
            <b/>
            <sz val="9"/>
            <color indexed="81"/>
            <rFont val="Tahoma"/>
            <family val="2"/>
          </rPr>
          <t xml:space="preserve">Ingreso o Seguimiento
</t>
        </r>
        <r>
          <rPr>
            <sz val="9"/>
            <color indexed="81"/>
            <rFont val="Tahoma"/>
            <family val="2"/>
          </rPr>
          <t xml:space="preserve">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8" authorId="1" shapeId="0" xr:uid="{FE8C5E2A-8996-405E-A725-0805AAC1BED4}">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en el campo:
-  En Sección</t>
        </r>
        <r>
          <rPr>
            <b/>
            <sz val="9"/>
            <color indexed="81"/>
            <rFont val="Tahoma"/>
            <family val="2"/>
          </rPr>
          <t xml:space="preserve"> 3.- PATOLOGÍAS / ANTECEDENTES MÓRBIDOS </t>
        </r>
        <r>
          <rPr>
            <sz val="9"/>
            <color indexed="81"/>
            <rFont val="Tahoma"/>
            <family val="2"/>
          </rPr>
          <t xml:space="preserve"> en el Campo </t>
        </r>
        <r>
          <rPr>
            <b/>
            <sz val="9"/>
            <color indexed="81"/>
            <rFont val="Tahoma"/>
            <family val="2"/>
          </rPr>
          <t>Tiene Dislipidemia</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9" authorId="1" shapeId="0" xr:uid="{99B446F0-0A4F-46CF-B65C-63B5E9881656}">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 "SALUD CARDIOVASCULAR INTEGRAL"</t>
        </r>
        <r>
          <rPr>
            <sz val="9"/>
            <color indexed="81"/>
            <rFont val="Tahoma"/>
            <family val="2"/>
          </rPr>
          <t>; en el campo:
-  En Sección</t>
        </r>
        <r>
          <rPr>
            <b/>
            <sz val="9"/>
            <color indexed="81"/>
            <rFont val="Tahoma"/>
            <family val="2"/>
          </rPr>
          <t xml:space="preserve"> 3.- PATOLOGÍAS / ANTECEDENTES MÓRBIDOS </t>
        </r>
        <r>
          <rPr>
            <sz val="9"/>
            <color indexed="81"/>
            <rFont val="Tahoma"/>
            <family val="2"/>
          </rPr>
          <t xml:space="preserve"> en el Campo </t>
        </r>
        <r>
          <rPr>
            <b/>
            <sz val="9"/>
            <color indexed="81"/>
            <rFont val="Tahoma"/>
            <family val="2"/>
          </rPr>
          <t>Tabaquismo Actual ,</t>
        </r>
        <r>
          <rPr>
            <sz val="9"/>
            <color indexed="81"/>
            <rFont val="Tahoma"/>
            <family val="2"/>
          </rPr>
          <t xml:space="preserve"> la opción </t>
        </r>
        <r>
          <rPr>
            <b/>
            <sz val="9"/>
            <color indexed="81"/>
            <rFont val="Tahoma"/>
            <family val="2"/>
          </rPr>
          <t xml:space="preserve">SI </t>
        </r>
        <r>
          <rPr>
            <sz val="9"/>
            <color indexed="81"/>
            <rFont val="Tahoma"/>
            <family val="2"/>
          </rPr>
          <t xml:space="preserve">y en campo </t>
        </r>
        <r>
          <rPr>
            <b/>
            <sz val="9"/>
            <color indexed="81"/>
            <rFont val="Tahoma"/>
            <family val="2"/>
          </rPr>
          <t xml:space="preserve">Estado </t>
        </r>
        <r>
          <rPr>
            <sz val="9"/>
            <color indexed="81"/>
            <rFont val="Tahoma"/>
            <family val="2"/>
          </rPr>
          <t xml:space="preserve">el valor </t>
        </r>
        <r>
          <rPr>
            <b/>
            <sz val="9"/>
            <color indexed="81"/>
            <rFont val="Tahoma"/>
            <family val="2"/>
          </rPr>
          <t xml:space="preserve">Ingreso o Seguimiento (Se contabilizará solo en personas mayores o igual a 55 años)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20" authorId="1" shapeId="0" xr:uid="{53381176-91D3-43A3-B2F4-3F29E8BDF921}">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t>
        </r>
        <r>
          <rPr>
            <b/>
            <sz val="9"/>
            <color indexed="81"/>
            <rFont val="Tahoma"/>
            <family val="2"/>
          </rPr>
          <t xml:space="preserve"> 3.- PATOLOGÍAS / ANTECEDENTES MÓRBIDOS  </t>
        </r>
        <r>
          <rPr>
            <sz val="9"/>
            <color indexed="81"/>
            <rFont val="Tahoma"/>
            <family val="2"/>
          </rPr>
          <t xml:space="preserve">en el Campo </t>
        </r>
        <r>
          <rPr>
            <b/>
            <sz val="9"/>
            <color indexed="81"/>
            <rFont val="Tahoma"/>
            <family val="2"/>
          </rPr>
          <t>¿Tiene Antecedentes Enf. Cardiovascular Aterosclerótica?</t>
        </r>
        <r>
          <rPr>
            <sz val="9"/>
            <color indexed="81"/>
            <rFont val="Tahoma"/>
            <family val="2"/>
          </rPr>
          <t xml:space="preserve"> valor </t>
        </r>
        <r>
          <rPr>
            <b/>
            <sz val="9"/>
            <color indexed="81"/>
            <rFont val="Tahoma"/>
            <family val="2"/>
          </rPr>
          <t>SI,</t>
        </r>
        <r>
          <rPr>
            <sz val="9"/>
            <color indexed="81"/>
            <rFont val="Tahoma"/>
            <family val="2"/>
          </rPr>
          <t xml:space="preserve"> y en el Campo Estado valor</t>
        </r>
        <r>
          <rPr>
            <b/>
            <sz val="9"/>
            <color indexed="81"/>
            <rFont val="Tahoma"/>
            <family val="2"/>
          </rPr>
          <t xml:space="preserve"> Ingreso o Seguimiento</t>
        </r>
        <r>
          <rPr>
            <sz val="9"/>
            <color indexed="81"/>
            <rFont val="Tahoma"/>
            <family val="2"/>
          </rPr>
          <t xml:space="preserve">
y/ó
Y Además en </t>
        </r>
        <r>
          <rPr>
            <b/>
            <sz val="9"/>
            <color indexed="81"/>
            <rFont val="Tahoma"/>
            <family val="2"/>
          </rPr>
          <t xml:space="preserve">Sección 4.- COMPLICACIONES </t>
        </r>
        <r>
          <rPr>
            <sz val="9"/>
            <color indexed="81"/>
            <rFont val="Tahoma"/>
            <family val="2"/>
          </rPr>
          <t xml:space="preserve">en el campo </t>
        </r>
        <r>
          <rPr>
            <b/>
            <sz val="9"/>
            <color indexed="81"/>
            <rFont val="Tahoma"/>
            <family val="2"/>
          </rPr>
          <t>¿Ha presentado IAM?</t>
        </r>
        <r>
          <rPr>
            <sz val="9"/>
            <color indexed="81"/>
            <rFont val="Tahoma"/>
            <family val="2"/>
          </rPr>
          <t xml:space="preserve"> el valor </t>
        </r>
        <r>
          <rPr>
            <b/>
            <sz val="9"/>
            <color indexed="81"/>
            <rFont val="Tahoma"/>
            <family val="2"/>
          </rPr>
          <t xml:space="preserve">SI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21" authorId="1" shapeId="0" xr:uid="{49DF943E-0223-4574-9256-B2F410949B24}">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t>
        </r>
        <r>
          <rPr>
            <b/>
            <sz val="9"/>
            <color indexed="81"/>
            <rFont val="Tahoma"/>
            <family val="2"/>
          </rPr>
          <t xml:space="preserve"> ¿Tiene Antecedentes Enf. Cardiovascular Aterosclerótica?</t>
        </r>
        <r>
          <rPr>
            <sz val="9"/>
            <color indexed="81"/>
            <rFont val="Tahoma"/>
            <family val="2"/>
          </rPr>
          <t xml:space="preserve"> valor </t>
        </r>
        <r>
          <rPr>
            <b/>
            <sz val="9"/>
            <color indexed="81"/>
            <rFont val="Tahoma"/>
            <family val="2"/>
          </rPr>
          <t>SI,</t>
        </r>
        <r>
          <rPr>
            <sz val="9"/>
            <color indexed="81"/>
            <rFont val="Tahoma"/>
            <family val="2"/>
          </rPr>
          <t xml:space="preserve"> y en el Campo Estado valor </t>
        </r>
        <r>
          <rPr>
            <b/>
            <sz val="9"/>
            <color indexed="81"/>
            <rFont val="Tahoma"/>
            <family val="2"/>
          </rPr>
          <t>Ingreso o Seguimiento</t>
        </r>
        <r>
          <rPr>
            <sz val="9"/>
            <color indexed="81"/>
            <rFont val="Tahoma"/>
            <family val="2"/>
          </rPr>
          <t xml:space="preserve">
y/ó
Y Además en Sección 4.- COMPLICACIONES en el campo </t>
        </r>
        <r>
          <rPr>
            <b/>
            <sz val="9"/>
            <color indexed="81"/>
            <rFont val="Tahoma"/>
            <family val="2"/>
          </rPr>
          <t>¿Ha presentado AVE?</t>
        </r>
        <r>
          <rPr>
            <sz val="9"/>
            <color indexed="81"/>
            <rFont val="Tahoma"/>
            <family val="2"/>
          </rPr>
          <t xml:space="preserve"> el valor </t>
        </r>
        <r>
          <rPr>
            <b/>
            <sz val="9"/>
            <color indexed="81"/>
            <rFont val="Tahoma"/>
            <family val="2"/>
          </rPr>
          <t xml:space="preserve">SI.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22" authorId="2" shapeId="0" xr:uid="{A68611EC-F901-403D-9946-002BD19740E2}">
      <text>
        <r>
          <rPr>
            <sz val="9"/>
            <color indexed="81"/>
            <rFont val="Tahoma"/>
            <family val="2"/>
          </rPr>
          <t xml:space="preserve">Este dato aparecerá  luego de que en la atención Registrada en el </t>
        </r>
        <r>
          <rPr>
            <b/>
            <sz val="9"/>
            <color indexed="81"/>
            <rFont val="Tahoma"/>
            <family val="2"/>
          </rPr>
          <t xml:space="preserve">Módulo Box - Pacientes Citados  o en Agregar documentos a una atención </t>
        </r>
        <r>
          <rPr>
            <sz val="9"/>
            <color indexed="81"/>
            <rFont val="Tahoma"/>
            <family val="2"/>
          </rPr>
          <t xml:space="preserve">en el Formulario </t>
        </r>
        <r>
          <rPr>
            <b/>
            <sz val="9"/>
            <color indexed="81"/>
            <rFont val="Tahoma"/>
            <family val="2"/>
          </rPr>
          <t>SALUD CARDIOVASCULAR INTEGRAL</t>
        </r>
        <r>
          <rPr>
            <sz val="9"/>
            <color indexed="81"/>
            <rFont val="Tahoma"/>
            <family val="2"/>
          </rPr>
          <t xml:space="preserve"> tengan registrado ;
</t>
        </r>
        <r>
          <rPr>
            <b/>
            <sz val="9"/>
            <color indexed="81"/>
            <rFont val="Tahoma"/>
            <family val="2"/>
          </rPr>
          <t xml:space="preserve"> </t>
        </r>
        <r>
          <rPr>
            <sz val="9"/>
            <color indexed="81"/>
            <rFont val="Tahoma"/>
            <family val="2"/>
          </rPr>
          <t xml:space="preserve">-   En Sección </t>
        </r>
        <r>
          <rPr>
            <b/>
            <sz val="9"/>
            <color indexed="81"/>
            <rFont val="Tahoma"/>
            <family val="2"/>
          </rPr>
          <t xml:space="preserve">3.- PATOLOGÍAS / ANTECEDENTES MÓRBIDOS  </t>
        </r>
        <r>
          <rPr>
            <sz val="9"/>
            <color indexed="81"/>
            <rFont val="Tahoma"/>
            <family val="2"/>
          </rPr>
          <t>en el Campo</t>
        </r>
        <r>
          <rPr>
            <b/>
            <sz val="9"/>
            <color indexed="81"/>
            <rFont val="Tahoma"/>
            <family val="2"/>
          </rPr>
          <t xml:space="preserve"> ¿ Tiene Antecedentes de otras enfermedades cardiovasculares (se excluye IAM y ACV)? </t>
        </r>
        <r>
          <rPr>
            <sz val="9"/>
            <color indexed="81"/>
            <rFont val="Tahoma"/>
            <family val="2"/>
          </rPr>
          <t xml:space="preserve">valor </t>
        </r>
        <r>
          <rPr>
            <b/>
            <sz val="9"/>
            <color indexed="81"/>
            <rFont val="Tahoma"/>
            <family val="2"/>
          </rPr>
          <t>SI,</t>
        </r>
        <r>
          <rPr>
            <sz val="9"/>
            <color indexed="81"/>
            <rFont val="Tahoma"/>
            <family val="2"/>
          </rPr>
          <t xml:space="preserve"> y en el Campo</t>
        </r>
        <r>
          <rPr>
            <b/>
            <sz val="9"/>
            <color indexed="81"/>
            <rFont val="Tahoma"/>
            <family val="2"/>
          </rPr>
          <t xml:space="preserve"> Estado </t>
        </r>
        <r>
          <rPr>
            <sz val="9"/>
            <color indexed="81"/>
            <rFont val="Tahoma"/>
            <family val="2"/>
          </rPr>
          <t>valor</t>
        </r>
        <r>
          <rPr>
            <b/>
            <sz val="9"/>
            <color indexed="81"/>
            <rFont val="Tahoma"/>
            <family val="2"/>
          </rPr>
          <t xml:space="preserve"> Ingreso.
</t>
        </r>
        <r>
          <rPr>
            <b/>
            <sz val="9"/>
            <color indexed="81"/>
            <rFont val="Tahoma"/>
            <family val="2"/>
          </rPr>
          <t xml:space="preserve">
Además Reistrar la Fecha Próximo Control, fecha aproximada de su próxima citación al programa.</t>
        </r>
      </text>
    </comment>
    <comment ref="C23" authorId="2" shapeId="0" xr:uid="{235E929A-0B75-4A9D-8627-67F8BA7C5346}">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 xml:space="preserve">"SALUD CARDIOVASCULAR INTEGRAL"";
</t>
        </r>
        <r>
          <rPr>
            <sz val="9"/>
            <color indexed="81"/>
            <rFont val="Tahoma"/>
            <family val="2"/>
          </rPr>
          <t xml:space="preserve">
- En la sección</t>
        </r>
        <r>
          <rPr>
            <b/>
            <sz val="9"/>
            <color indexed="81"/>
            <rFont val="Tahoma"/>
            <family val="2"/>
          </rPr>
          <t xml:space="preserve"> 8.- DERC - Detección y Prevención de la Progresión de la Enfermedad Renal Crónica</t>
        </r>
        <r>
          <rPr>
            <sz val="9"/>
            <color indexed="81"/>
            <rFont val="Tahoma"/>
            <family val="2"/>
          </rPr>
          <t xml:space="preserve">, en el  campo </t>
        </r>
        <r>
          <rPr>
            <b/>
            <sz val="9"/>
            <color indexed="81"/>
            <rFont val="Tahoma"/>
            <family val="2"/>
          </rPr>
          <t>Estado ERC</t>
        </r>
        <r>
          <rPr>
            <sz val="9"/>
            <color indexed="81"/>
            <rFont val="Tahoma"/>
            <family val="2"/>
          </rPr>
          <t xml:space="preserve"> el valor </t>
        </r>
        <r>
          <rPr>
            <b/>
            <sz val="9"/>
            <color indexed="81"/>
            <rFont val="Tahoma"/>
            <family val="2"/>
          </rPr>
          <t xml:space="preserve">Ingreso o Seguimiento </t>
        </r>
        <r>
          <rPr>
            <sz val="9"/>
            <color indexed="81"/>
            <rFont val="Tahoma"/>
            <family val="2"/>
          </rPr>
          <t xml:space="preserve">y  En campo </t>
        </r>
        <r>
          <rPr>
            <b/>
            <sz val="9"/>
            <color indexed="81"/>
            <rFont val="Tahoma"/>
            <family val="2"/>
          </rPr>
          <t>"Enfermedad Renal Crónica</t>
        </r>
        <r>
          <rPr>
            <sz val="9"/>
            <color indexed="81"/>
            <rFont val="Tahoma"/>
            <family val="2"/>
          </rPr>
          <t xml:space="preserve">" tenga alguno de los valores de etapas (Detalles en Sección C);
</t>
        </r>
        <r>
          <rPr>
            <b/>
            <sz val="9"/>
            <color indexed="81"/>
            <rFont val="Tahoma"/>
            <family val="2"/>
          </rPr>
          <t>- Etapa G1 
- Etapa G2 
- Etapa G3a
- Etapa G3b 
- Etapa G4  
- Etapa G5</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AH25" authorId="0" shapeId="0" xr:uid="{3381F2C8-87C8-4BAF-96FC-481FD04EAB77}">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o en </t>
        </r>
        <r>
          <rPr>
            <b/>
            <sz val="9"/>
            <color indexed="81"/>
            <rFont val="Tahoma"/>
            <family val="2"/>
          </rPr>
          <t xml:space="preserve">Box - Pacientes Citados </t>
        </r>
        <r>
          <rPr>
            <sz val="9"/>
            <color indexed="81"/>
            <rFont val="Tahoma"/>
            <family val="2"/>
          </rPr>
          <t xml:space="preserve">el paciente indique un </t>
        </r>
        <r>
          <rPr>
            <b/>
            <sz val="9"/>
            <color indexed="81"/>
            <rFont val="Tahoma"/>
            <family val="2"/>
          </rPr>
          <t>Pueblo Indigena</t>
        </r>
        <r>
          <rPr>
            <sz val="9"/>
            <color indexed="81"/>
            <rFont val="Tahoma"/>
            <family val="2"/>
          </rPr>
          <t xml:space="preserve">
</t>
        </r>
      </text>
    </comment>
    <comment ref="AJ25" authorId="0" shapeId="0" xr:uid="{7261F844-A51D-4BF9-80E4-A066B2ECE35B}">
      <text>
        <r>
          <rPr>
            <sz val="9"/>
            <color indexed="81"/>
            <rFont val="Tahoma"/>
            <family val="2"/>
          </rPr>
          <t>Se contabilizara a los pacientes que tengan en Admisión - usuario "Alerta Administrativa" o Box - Pacientes Citados - "Alertas Administrativas"</t>
        </r>
        <r>
          <rPr>
            <b/>
            <sz val="9"/>
            <color indexed="81"/>
            <rFont val="Tahoma"/>
            <family val="2"/>
          </rPr>
          <t xml:space="preserve">  "MIGRANTES"</t>
        </r>
        <r>
          <rPr>
            <sz val="9"/>
            <color indexed="81"/>
            <rFont val="Tahoma"/>
            <family val="2"/>
          </rPr>
          <t xml:space="preserve">
</t>
        </r>
      </text>
    </comment>
    <comment ref="C28" authorId="3" shapeId="0" xr:uid="{84A89F33-38EF-4073-9BCF-88D25E52D801}">
      <text>
        <r>
          <rPr>
            <sz val="9"/>
            <color indexed="81"/>
            <rFont val="Tahoma"/>
            <family val="2"/>
          </rPr>
          <t>Este dato aparecerá  luego de que en la atención registrada en</t>
        </r>
        <r>
          <rPr>
            <b/>
            <sz val="9"/>
            <color indexed="81"/>
            <rFont val="Tahoma"/>
            <family val="2"/>
          </rPr>
          <t xml:space="preserve"> 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 </t>
        </r>
        <r>
          <rPr>
            <b/>
            <sz val="9"/>
            <color indexed="81"/>
            <rFont val="Tahoma"/>
            <family val="2"/>
          </rPr>
          <t>Tiene Hipertensión Arterial</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Además en sección </t>
        </r>
        <r>
          <rPr>
            <b/>
            <sz val="9"/>
            <color indexed="81"/>
            <rFont val="Tahoma"/>
            <family val="2"/>
          </rPr>
          <t>1.- MEDICIONES ANTROPOMÉTRICAS</t>
        </r>
        <r>
          <rPr>
            <sz val="9"/>
            <color indexed="81"/>
            <rFont val="Tahoma"/>
            <family val="2"/>
          </rPr>
          <t xml:space="preserve"> en campo </t>
        </r>
        <r>
          <rPr>
            <b/>
            <sz val="9"/>
            <color indexed="81"/>
            <rFont val="Tahoma"/>
            <family val="2"/>
          </rPr>
          <t xml:space="preserve">Presion Arterial (MnHg) </t>
        </r>
        <r>
          <rPr>
            <sz val="9"/>
            <color indexed="81"/>
            <rFont val="Tahoma"/>
            <family val="2"/>
          </rPr>
          <t xml:space="preserve">tenga valores </t>
        </r>
        <r>
          <rPr>
            <b/>
            <sz val="9"/>
            <color indexed="81"/>
            <rFont val="Tahoma"/>
            <family val="2"/>
          </rPr>
          <t xml:space="preserve">menor a 140/90 MmHg.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29" authorId="3" shapeId="0" xr:uid="{EBBA9D6A-C46C-4F2F-B7B7-3622E30B7B2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Además en sección </t>
        </r>
        <r>
          <rPr>
            <b/>
            <sz val="9"/>
            <color indexed="81"/>
            <rFont val="Tahoma"/>
            <family val="2"/>
          </rPr>
          <t>1.- MEDICIONES ANTROPOMÉTRICAS</t>
        </r>
        <r>
          <rPr>
            <sz val="9"/>
            <color indexed="81"/>
            <rFont val="Tahoma"/>
            <family val="2"/>
          </rPr>
          <t xml:space="preserve"> en campo </t>
        </r>
        <r>
          <rPr>
            <b/>
            <sz val="9"/>
            <color indexed="81"/>
            <rFont val="Tahoma"/>
            <family val="2"/>
          </rPr>
          <t>Presion Arterial (MnHg)</t>
        </r>
        <r>
          <rPr>
            <sz val="9"/>
            <color indexed="81"/>
            <rFont val="Tahoma"/>
            <family val="2"/>
          </rPr>
          <t xml:space="preserve"> tenga valores </t>
        </r>
        <r>
          <rPr>
            <b/>
            <sz val="9"/>
            <color indexed="81"/>
            <rFont val="Tahoma"/>
            <family val="2"/>
          </rPr>
          <t>menor a 150/90 MmHg.</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30" authorId="1" shapeId="0" xr:uid="{6513E90A-10D6-4ABF-A81C-FEC6C520BD11}">
      <text>
        <r>
          <rPr>
            <sz val="9"/>
            <color indexed="81"/>
            <rFont val="Tahoma"/>
            <family val="2"/>
          </rPr>
          <t>Este dato aparecerá  luego de que en la atención registrada en</t>
        </r>
        <r>
          <rPr>
            <b/>
            <sz val="9"/>
            <color indexed="81"/>
            <rFont val="Tahoma"/>
            <family val="2"/>
          </rPr>
          <t xml:space="preserve"> Módulo de Box/Pacientes citados </t>
        </r>
        <r>
          <rPr>
            <sz val="9"/>
            <color indexed="81"/>
            <rFont val="Tahoma"/>
            <family val="2"/>
          </rPr>
          <t>ó</t>
        </r>
        <r>
          <rPr>
            <b/>
            <sz val="9"/>
            <color indexed="81"/>
            <rFont val="Tahoma"/>
            <family val="2"/>
          </rPr>
          <t xml:space="preserve"> Módulo Box/Agregar documento a una atención; </t>
        </r>
        <r>
          <rPr>
            <sz val="9"/>
            <color indexed="81"/>
            <rFont val="Tahoma"/>
            <family val="2"/>
          </rPr>
          <t>se registre el</t>
        </r>
        <r>
          <rPr>
            <b/>
            <sz val="9"/>
            <color indexed="81"/>
            <rFont val="Tahoma"/>
            <family val="2"/>
          </rPr>
          <t xml:space="preserve"> Formulario Clínico: "SALUD CARDIOVASCULAR INTEGRAL";</t>
        </r>
        <r>
          <rPr>
            <sz val="9"/>
            <color indexed="81"/>
            <rFont val="Tahoma"/>
            <family val="2"/>
          </rPr>
          <t xml:space="preserve"> en el campo:
</t>
        </r>
        <r>
          <rPr>
            <b/>
            <sz val="9"/>
            <color indexed="81"/>
            <rFont val="Tahoma"/>
            <family val="2"/>
          </rPr>
          <t xml:space="preserve">
-</t>
        </r>
        <r>
          <rPr>
            <sz val="9"/>
            <color indexed="81"/>
            <rFont val="Tahoma"/>
            <family val="2"/>
          </rPr>
          <t xml:space="preserve">  En Sección </t>
        </r>
        <r>
          <rPr>
            <b/>
            <sz val="9"/>
            <color indexed="81"/>
            <rFont val="Tahoma"/>
            <family val="2"/>
          </rPr>
          <t xml:space="preserve">3.- PATOLOGÍAS / ANTECEDENTES MÓRBIDOS </t>
        </r>
        <r>
          <rPr>
            <sz val="9"/>
            <color indexed="81"/>
            <rFont val="Tahoma"/>
            <family val="2"/>
          </rPr>
          <t xml:space="preserve"> en el Campo Tiene </t>
        </r>
        <r>
          <rPr>
            <b/>
            <sz val="9"/>
            <color indexed="81"/>
            <rFont val="Tahoma"/>
            <family val="2"/>
          </rPr>
          <t>Diabetes Mellitus 2</t>
        </r>
        <r>
          <rPr>
            <sz val="9"/>
            <color indexed="81"/>
            <rFont val="Tahoma"/>
            <family val="2"/>
          </rPr>
          <t>, la opción</t>
        </r>
        <r>
          <rPr>
            <b/>
            <sz val="9"/>
            <color indexed="81"/>
            <rFont val="Tahoma"/>
            <family val="2"/>
          </rPr>
          <t xml:space="preserve"> SI </t>
        </r>
        <r>
          <rPr>
            <sz val="9"/>
            <color indexed="81"/>
            <rFont val="Tahoma"/>
            <family val="2"/>
          </rPr>
          <t>y en campo Estado el valor</t>
        </r>
        <r>
          <rPr>
            <b/>
            <sz val="9"/>
            <color indexed="81"/>
            <rFont val="Tahoma"/>
            <family val="2"/>
          </rPr>
          <t xml:space="preserve"> Ingreso o Seguimiento
</t>
        </r>
        <r>
          <rPr>
            <sz val="9"/>
            <color indexed="81"/>
            <rFont val="Tahoma"/>
            <family val="2"/>
          </rPr>
          <t>(el registro haya sido realizado hasta un plazo maximo de 1 año hacia atrás desde la fecha de corte)
Además en sección</t>
        </r>
        <r>
          <rPr>
            <b/>
            <sz val="9"/>
            <color indexed="81"/>
            <rFont val="Tahoma"/>
            <family val="2"/>
          </rPr>
          <t xml:space="preserve"> 6.- EXÁMENES DE LABORATORIO </t>
        </r>
        <r>
          <rPr>
            <sz val="9"/>
            <color indexed="81"/>
            <rFont val="Tahoma"/>
            <family val="2"/>
          </rPr>
          <t>en campo</t>
        </r>
        <r>
          <rPr>
            <b/>
            <sz val="9"/>
            <color indexed="81"/>
            <rFont val="Tahoma"/>
            <family val="2"/>
          </rPr>
          <t xml:space="preserve"> Hemoglobina Glicosilada (Hba1c)</t>
        </r>
        <r>
          <rPr>
            <sz val="9"/>
            <color indexed="81"/>
            <rFont val="Tahoma"/>
            <family val="2"/>
          </rPr>
          <t xml:space="preserve"> tenga valores </t>
        </r>
        <r>
          <rPr>
            <b/>
            <sz val="9"/>
            <color indexed="81"/>
            <rFont val="Tahoma"/>
            <family val="2"/>
          </rPr>
          <t xml:space="preserve">menores al 7%
</t>
        </r>
        <r>
          <rPr>
            <sz val="9"/>
            <color indexed="81"/>
            <rFont val="Tahoma"/>
            <family val="2"/>
          </rPr>
          <t xml:space="preserve">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Formularios Clínicos tambien se pueden agregar desde Modulo Box/Agregar documentos a una atencion</t>
        </r>
        <r>
          <rPr>
            <b/>
            <sz val="9"/>
            <color indexed="81"/>
            <rFont val="Tahoma"/>
            <family val="2"/>
          </rPr>
          <t xml:space="preserve">*
</t>
        </r>
      </text>
    </comment>
    <comment ref="C31" authorId="1" shapeId="0" xr:uid="{12BBE700-5052-446A-9F7C-7292C2AB2CEF}">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 xml:space="preserve">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 Tiene </t>
        </r>
        <r>
          <rPr>
            <b/>
            <sz val="9"/>
            <color indexed="81"/>
            <rFont val="Tahoma"/>
            <family val="2"/>
          </rPr>
          <t>Diabetes Mellitus 2</t>
        </r>
        <r>
          <rPr>
            <sz val="9"/>
            <color indexed="81"/>
            <rFont val="Tahoma"/>
            <family val="2"/>
          </rPr>
          <t xml:space="preserve">, la opción SI y en campo Estado el valor Ingreso o Seguimiento
(el registro haya sido realizado hasta un plazo maximo de 1 año hacia atrás desde la fecha de corte)
Además en sección </t>
        </r>
        <r>
          <rPr>
            <b/>
            <sz val="9"/>
            <color indexed="81"/>
            <rFont val="Tahoma"/>
            <family val="2"/>
          </rPr>
          <t>6.- EXÁMENES DE LABORATORIO</t>
        </r>
        <r>
          <rPr>
            <sz val="9"/>
            <color indexed="81"/>
            <rFont val="Tahoma"/>
            <family val="2"/>
          </rPr>
          <t xml:space="preserve"> en campo </t>
        </r>
        <r>
          <rPr>
            <b/>
            <sz val="9"/>
            <color indexed="81"/>
            <rFont val="Tahoma"/>
            <family val="2"/>
          </rPr>
          <t xml:space="preserve">Hemoglobina Glicosilada (Hba1c) </t>
        </r>
        <r>
          <rPr>
            <sz val="9"/>
            <color indexed="81"/>
            <rFont val="Tahoma"/>
            <family val="2"/>
          </rPr>
          <t xml:space="preserve">tenga valores </t>
        </r>
        <r>
          <rPr>
            <b/>
            <sz val="9"/>
            <color indexed="81"/>
            <rFont val="Tahoma"/>
            <family val="2"/>
          </rPr>
          <t xml:space="preserve">menores al 8%.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32" authorId="1" shapeId="0" xr:uid="{D1947A41-5CE6-40C3-AE48-36E205655149}">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t>
        </r>
        <r>
          <rPr>
            <b/>
            <sz val="9"/>
            <color indexed="81"/>
            <rFont val="Tahoma"/>
            <family val="2"/>
          </rPr>
          <t xml:space="preserve"> 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Además en sección </t>
        </r>
        <r>
          <rPr>
            <b/>
            <sz val="9"/>
            <color indexed="81"/>
            <rFont val="Tahoma"/>
            <family val="2"/>
          </rPr>
          <t xml:space="preserve">6.- EXÁMENES DE LABORATORIO </t>
        </r>
        <r>
          <rPr>
            <sz val="9"/>
            <color indexed="81"/>
            <rFont val="Tahoma"/>
            <family val="2"/>
          </rPr>
          <t xml:space="preserve">en campo </t>
        </r>
        <r>
          <rPr>
            <b/>
            <sz val="9"/>
            <color indexed="81"/>
            <rFont val="Tahoma"/>
            <family val="2"/>
          </rPr>
          <t xml:space="preserve">Hemoglobina Glicosilada (Hba1c) </t>
        </r>
        <r>
          <rPr>
            <sz val="9"/>
            <color indexed="81"/>
            <rFont val="Tahoma"/>
            <family val="2"/>
          </rPr>
          <t xml:space="preserve">tenga valores </t>
        </r>
        <r>
          <rPr>
            <b/>
            <sz val="9"/>
            <color indexed="81"/>
            <rFont val="Tahoma"/>
            <family val="2"/>
          </rPr>
          <t xml:space="preserve">menores al 7% ; </t>
        </r>
        <r>
          <rPr>
            <sz val="9"/>
            <color indexed="81"/>
            <rFont val="Tahoma"/>
            <family val="2"/>
          </rPr>
          <t xml:space="preserve">en campo </t>
        </r>
        <r>
          <rPr>
            <b/>
            <sz val="9"/>
            <color indexed="81"/>
            <rFont val="Tahoma"/>
            <family val="2"/>
          </rPr>
          <t>Colesterol LDL</t>
        </r>
        <r>
          <rPr>
            <sz val="9"/>
            <color indexed="81"/>
            <rFont val="Tahoma"/>
            <family val="2"/>
          </rPr>
          <t xml:space="preserve"> </t>
        </r>
        <r>
          <rPr>
            <b/>
            <sz val="9"/>
            <color indexed="81"/>
            <rFont val="Tahoma"/>
            <family val="2"/>
          </rPr>
          <t>(mg/dl)</t>
        </r>
        <r>
          <rPr>
            <sz val="9"/>
            <color indexed="81"/>
            <rFont val="Tahoma"/>
            <family val="2"/>
          </rPr>
          <t xml:space="preserve"> tenga valor </t>
        </r>
        <r>
          <rPr>
            <b/>
            <sz val="9"/>
            <color indexed="81"/>
            <rFont val="Tahoma"/>
            <family val="2"/>
          </rPr>
          <t xml:space="preserve">&lt; 100 mg/dL; </t>
        </r>
        <r>
          <rPr>
            <sz val="9"/>
            <color indexed="81"/>
            <rFont val="Tahoma"/>
            <family val="2"/>
          </rPr>
          <t xml:space="preserve">en campo </t>
        </r>
        <r>
          <rPr>
            <b/>
            <sz val="9"/>
            <color indexed="81"/>
            <rFont val="Tahoma"/>
            <family val="2"/>
          </rPr>
          <t>Presión Arterial (MmHg)</t>
        </r>
        <r>
          <rPr>
            <sz val="9"/>
            <color indexed="81"/>
            <rFont val="Tahoma"/>
            <family val="2"/>
          </rPr>
          <t xml:space="preserve"> tenga valores </t>
        </r>
        <r>
          <rPr>
            <b/>
            <sz val="9"/>
            <color indexed="81"/>
            <rFont val="Tahoma"/>
            <family val="2"/>
          </rPr>
          <t xml:space="preserve">menores a 140/90 MmHg.
</t>
        </r>
        <r>
          <rPr>
            <sz val="9"/>
            <color indexed="81"/>
            <rFont val="Tahoma"/>
            <family val="2"/>
          </rPr>
          <t xml:space="preserve"> 
Y 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33" authorId="1" shapeId="0" xr:uid="{ACBD2919-0C30-4143-B16C-C905F3735E95}">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 </t>
        </r>
        <r>
          <rPr>
            <b/>
            <sz val="9"/>
            <color indexed="81"/>
            <rFont val="Tahoma"/>
            <family val="2"/>
          </rPr>
          <t xml:space="preserve">Tiene Hipertensión Arterial, </t>
        </r>
        <r>
          <rPr>
            <sz val="9"/>
            <color indexed="81"/>
            <rFont val="Tahoma"/>
            <family val="2"/>
          </rPr>
          <t xml:space="preserve">la opción </t>
        </r>
        <r>
          <rPr>
            <b/>
            <sz val="9"/>
            <color indexed="81"/>
            <rFont val="Tahoma"/>
            <family val="2"/>
          </rPr>
          <t>SI</t>
        </r>
        <r>
          <rPr>
            <sz val="9"/>
            <color indexed="81"/>
            <rFont val="Tahoma"/>
            <family val="2"/>
          </rPr>
          <t xml:space="preserve">   y en campo Estado el valor</t>
        </r>
        <r>
          <rPr>
            <b/>
            <sz val="9"/>
            <color indexed="81"/>
            <rFont val="Tahoma"/>
            <family val="2"/>
          </rPr>
          <t xml:space="preserve"> Ingreso o Seguimiento</t>
        </r>
        <r>
          <rPr>
            <sz val="9"/>
            <color indexed="81"/>
            <rFont val="Tahoma"/>
            <family val="2"/>
          </rPr>
          <t xml:space="preserve">
y/ó
-  En Sección</t>
        </r>
        <r>
          <rPr>
            <b/>
            <sz val="9"/>
            <color indexed="81"/>
            <rFont val="Tahoma"/>
            <family val="2"/>
          </rPr>
          <t xml:space="preserve"> 3.- PATOLOGÍAS / ANTECEDENTES MÓRBIDOS</t>
        </r>
        <r>
          <rPr>
            <sz val="9"/>
            <color indexed="81"/>
            <rFont val="Tahoma"/>
            <family val="2"/>
          </rPr>
          <t xml:space="preserve">  en el Campo Tiene Diabetes Mellitus 2, la opción </t>
        </r>
        <r>
          <rPr>
            <b/>
            <sz val="9"/>
            <color indexed="81"/>
            <rFont val="Tahoma"/>
            <family val="2"/>
          </rPr>
          <t>SI</t>
        </r>
        <r>
          <rPr>
            <sz val="9"/>
            <color indexed="81"/>
            <rFont val="Tahoma"/>
            <family val="2"/>
          </rPr>
          <t xml:space="preserve"> y en campo Estado el valor</t>
        </r>
        <r>
          <rPr>
            <b/>
            <sz val="9"/>
            <color indexed="81"/>
            <rFont val="Tahoma"/>
            <family val="2"/>
          </rPr>
          <t xml:space="preserve"> Ingreso o Seguimiento</t>
        </r>
        <r>
          <rPr>
            <sz val="9"/>
            <color indexed="81"/>
            <rFont val="Tahoma"/>
            <family val="2"/>
          </rPr>
          <t xml:space="preserve">
y/ó
-  En Sección </t>
        </r>
        <r>
          <rPr>
            <b/>
            <sz val="9"/>
            <color indexed="81"/>
            <rFont val="Tahoma"/>
            <family val="2"/>
          </rPr>
          <t>3.- PATOLOGÍAS / ANTECEDENTES MÓRBIDOS</t>
        </r>
        <r>
          <rPr>
            <sz val="9"/>
            <color indexed="81"/>
            <rFont val="Tahoma"/>
            <family val="2"/>
          </rPr>
          <t xml:space="preserve">  en el Campo</t>
        </r>
        <r>
          <rPr>
            <b/>
            <sz val="9"/>
            <color indexed="81"/>
            <rFont val="Tahoma"/>
            <family val="2"/>
          </rPr>
          <t xml:space="preserve"> Tiene Dislipidemia</t>
        </r>
        <r>
          <rPr>
            <sz val="9"/>
            <color indexed="81"/>
            <rFont val="Tahoma"/>
            <family val="2"/>
          </rPr>
          <t>, la opción SI y en campo Estado el valor Ingreso o Seguimiento
 - En Sección</t>
        </r>
        <r>
          <rPr>
            <b/>
            <sz val="9"/>
            <color indexed="81"/>
            <rFont val="Tahoma"/>
            <family val="2"/>
          </rPr>
          <t xml:space="preserve"> 3.- PATOLOGÍAS / ANTECEDENTES MÓRBIDOS</t>
        </r>
        <r>
          <rPr>
            <sz val="9"/>
            <color indexed="81"/>
            <rFont val="Tahoma"/>
            <family val="2"/>
          </rPr>
          <t xml:space="preserve">  en el Campo </t>
        </r>
        <r>
          <rPr>
            <b/>
            <sz val="9"/>
            <color indexed="81"/>
            <rFont val="Tahoma"/>
            <family val="2"/>
          </rPr>
          <t>Tabaquismo Actual</t>
        </r>
        <r>
          <rPr>
            <sz val="9"/>
            <color indexed="81"/>
            <rFont val="Tahoma"/>
            <family val="2"/>
          </rPr>
          <t xml:space="preserve"> , la opción </t>
        </r>
        <r>
          <rPr>
            <b/>
            <sz val="9"/>
            <color indexed="81"/>
            <rFont val="Tahoma"/>
            <family val="2"/>
          </rPr>
          <t>SI</t>
        </r>
        <r>
          <rPr>
            <sz val="9"/>
            <color indexed="81"/>
            <rFont val="Tahoma"/>
            <family val="2"/>
          </rPr>
          <t xml:space="preserve"> y en campo Estado el valor</t>
        </r>
        <r>
          <rPr>
            <b/>
            <sz val="9"/>
            <color indexed="81"/>
            <rFont val="Tahoma"/>
            <family val="2"/>
          </rPr>
          <t xml:space="preserve"> Ingreso o Seguimiento. (Se contabilizará solo en personas mayores o igual a 55 años)</t>
        </r>
        <r>
          <rPr>
            <sz val="9"/>
            <color indexed="81"/>
            <rFont val="Tahoma"/>
            <family val="2"/>
          </rPr>
          <t xml:space="preserve">
y/ó
 -   En Sección</t>
        </r>
        <r>
          <rPr>
            <b/>
            <sz val="9"/>
            <color indexed="81"/>
            <rFont val="Tahoma"/>
            <family val="2"/>
          </rPr>
          <t xml:space="preserve"> 3.- PATOLOGÍAS / ANTECEDENTES MÓRBIDOS </t>
        </r>
        <r>
          <rPr>
            <sz val="9"/>
            <color indexed="81"/>
            <rFont val="Tahoma"/>
            <family val="2"/>
          </rPr>
          <t xml:space="preserve"> en el Campo</t>
        </r>
        <r>
          <rPr>
            <b/>
            <sz val="9"/>
            <color indexed="81"/>
            <rFont val="Tahoma"/>
            <family val="2"/>
          </rPr>
          <t xml:space="preserve"> ¿Tiene Antecedentes Enf. Cardiovascular Aterosclerótica? </t>
        </r>
        <r>
          <rPr>
            <sz val="9"/>
            <color indexed="81"/>
            <rFont val="Tahoma"/>
            <family val="2"/>
          </rPr>
          <t xml:space="preserve">valor </t>
        </r>
        <r>
          <rPr>
            <b/>
            <sz val="9"/>
            <color indexed="81"/>
            <rFont val="Tahoma"/>
            <family val="2"/>
          </rPr>
          <t>SI,</t>
        </r>
        <r>
          <rPr>
            <sz val="9"/>
            <color indexed="81"/>
            <rFont val="Tahoma"/>
            <family val="2"/>
          </rPr>
          <t xml:space="preserve"> y en el Campo Estado valor Ingreso o Seguimiento
y/ó
Y Además en Sección</t>
        </r>
        <r>
          <rPr>
            <b/>
            <sz val="9"/>
            <color indexed="81"/>
            <rFont val="Tahoma"/>
            <family val="2"/>
          </rPr>
          <t xml:space="preserve"> 4.- COMPLICACIONES</t>
        </r>
        <r>
          <rPr>
            <sz val="9"/>
            <color indexed="81"/>
            <rFont val="Tahoma"/>
            <family val="2"/>
          </rPr>
          <t xml:space="preserve"> en el campo</t>
        </r>
        <r>
          <rPr>
            <b/>
            <sz val="9"/>
            <color indexed="81"/>
            <rFont val="Tahoma"/>
            <family val="2"/>
          </rPr>
          <t xml:space="preserve"> ¿Ha presentado IAM?</t>
        </r>
        <r>
          <rPr>
            <sz val="9"/>
            <color indexed="81"/>
            <rFont val="Tahoma"/>
            <family val="2"/>
          </rPr>
          <t xml:space="preserve"> el valor </t>
        </r>
        <r>
          <rPr>
            <b/>
            <sz val="9"/>
            <color indexed="81"/>
            <rFont val="Tahoma"/>
            <family val="2"/>
          </rPr>
          <t>SI</t>
        </r>
        <r>
          <rPr>
            <sz val="9"/>
            <color indexed="81"/>
            <rFont val="Tahoma"/>
            <family val="2"/>
          </rPr>
          <t xml:space="preserve"> o en campo </t>
        </r>
        <r>
          <rPr>
            <b/>
            <sz val="9"/>
            <color indexed="81"/>
            <rFont val="Tahoma"/>
            <family val="2"/>
          </rPr>
          <t xml:space="preserve">¿Ha presentado ACV? </t>
        </r>
        <r>
          <rPr>
            <sz val="9"/>
            <color indexed="81"/>
            <rFont val="Tahoma"/>
            <family val="2"/>
          </rPr>
          <t xml:space="preserve">el valor </t>
        </r>
        <r>
          <rPr>
            <b/>
            <sz val="9"/>
            <color indexed="81"/>
            <rFont val="Tahoma"/>
            <family val="2"/>
          </rPr>
          <t>SI.</t>
        </r>
        <r>
          <rPr>
            <sz val="9"/>
            <color indexed="81"/>
            <rFont val="Tahoma"/>
            <family val="2"/>
          </rPr>
          <t xml:space="preserve">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Estado ERC</t>
        </r>
        <r>
          <rPr>
            <sz val="9"/>
            <color indexed="81"/>
            <rFont val="Tahoma"/>
            <family val="2"/>
          </rPr>
          <t xml:space="preserve"> el valor </t>
        </r>
        <r>
          <rPr>
            <b/>
            <sz val="9"/>
            <color indexed="81"/>
            <rFont val="Tahoma"/>
            <family val="2"/>
          </rPr>
          <t>Ingreso o Seguimiento</t>
        </r>
        <r>
          <rPr>
            <sz val="9"/>
            <color indexed="81"/>
            <rFont val="Tahoma"/>
            <family val="2"/>
          </rPr>
          <t>.
Además los pacientes debe tener registrado el</t>
        </r>
        <r>
          <rPr>
            <b/>
            <sz val="9"/>
            <color indexed="81"/>
            <rFont val="Tahoma"/>
            <family val="2"/>
          </rPr>
          <t xml:space="preserve"> Riesgo Cardiovascular </t>
        </r>
        <r>
          <rPr>
            <sz val="9"/>
            <color indexed="81"/>
            <rFont val="Tahoma"/>
            <family val="2"/>
          </rPr>
          <t xml:space="preserve">o Riesgo Cardiovascular por Framingham el valor </t>
        </r>
        <r>
          <rPr>
            <b/>
            <sz val="9"/>
            <color indexed="81"/>
            <rFont val="Tahoma"/>
            <family val="2"/>
          </rPr>
          <t xml:space="preserve">"Alto". 
Y </t>
        </r>
        <r>
          <rPr>
            <sz val="9"/>
            <color indexed="81"/>
            <rFont val="Tahoma"/>
            <family val="2"/>
          </rPr>
          <t xml:space="preserve">se registre en sección </t>
        </r>
        <r>
          <rPr>
            <b/>
            <sz val="9"/>
            <color indexed="81"/>
            <rFont val="Tahoma"/>
            <family val="2"/>
          </rPr>
          <t xml:space="preserve">6.- EXÁMENES DE LABORATORIO </t>
        </r>
        <r>
          <rPr>
            <sz val="9"/>
            <color indexed="81"/>
            <rFont val="Tahoma"/>
            <family val="2"/>
          </rPr>
          <t xml:space="preserve"> </t>
        </r>
        <r>
          <rPr>
            <b/>
            <sz val="9"/>
            <color indexed="81"/>
            <rFont val="Tahoma"/>
            <family val="2"/>
          </rPr>
          <t>Colesterol LDL</t>
        </r>
        <r>
          <rPr>
            <sz val="9"/>
            <color indexed="81"/>
            <rFont val="Tahoma"/>
            <family val="2"/>
          </rPr>
          <t xml:space="preserve"> </t>
        </r>
        <r>
          <rPr>
            <b/>
            <sz val="9"/>
            <color indexed="81"/>
            <rFont val="Tahoma"/>
            <family val="2"/>
          </rPr>
          <t>(mg/dl)</t>
        </r>
        <r>
          <rPr>
            <sz val="9"/>
            <color indexed="81"/>
            <rFont val="Tahoma"/>
            <family val="2"/>
          </rPr>
          <t xml:space="preserve"> tenga un valor </t>
        </r>
        <r>
          <rPr>
            <b/>
            <sz val="9"/>
            <color indexed="81"/>
            <rFont val="Tahoma"/>
            <family val="2"/>
          </rPr>
          <t xml:space="preserve">&lt; 70 mg/dL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r>
          <rPr>
            <b/>
            <sz val="9"/>
            <color indexed="81"/>
            <rFont val="Tahoma"/>
            <family val="2"/>
          </rPr>
          <t xml:space="preserve">
</t>
        </r>
      </text>
    </comment>
    <comment ref="C34" authorId="1" shapeId="0" xr:uid="{BBAEC6A0-FAA6-4428-9AFC-DC0F41CEF84B}">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Ácido Acetilsalicilico ó Otro Antiagregante Plaquetario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35" authorId="1" shapeId="0" xr:uid="{7C36B496-89E0-4F1B-B85C-7EB6ABEED070}">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Estatina</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36" authorId="1" shapeId="0" xr:uid="{3C3340C3-A807-48AC-A4A3-A7462086AB8E}">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en el Campo </t>
        </r>
        <r>
          <rPr>
            <b/>
            <sz val="9"/>
            <color indexed="81"/>
            <rFont val="Tahoma"/>
            <family val="2"/>
          </rPr>
          <t>¿Tabaquismo Actual?</t>
        </r>
        <r>
          <rPr>
            <sz val="9"/>
            <color indexed="81"/>
            <rFont val="Tahoma"/>
            <family val="2"/>
          </rPr>
          <t xml:space="preserve"> tenga el valor </t>
        </r>
        <r>
          <rPr>
            <b/>
            <sz val="9"/>
            <color indexed="81"/>
            <rFont val="Tahoma"/>
            <family val="2"/>
          </rPr>
          <t xml:space="preserve">Si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37" authorId="1" shapeId="0" xr:uid="{A11E74DA-8A31-4569-A071-BC89CAB3243E}">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Ácido Acetilsalicilico ó Otro Antiagregante Plaquetario
Además en Sección 4.- COMPLICACIONES en el campo ¿Ha presentado IAM? el valor SI.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38" authorId="1" shapeId="0" xr:uid="{87FFF18E-876B-48B1-ABA9-EA2F49C59F41}">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
</t>
        </r>
        <r>
          <rPr>
            <sz val="9"/>
            <color indexed="81"/>
            <rFont val="Tahoma"/>
            <family val="2"/>
          </rPr>
          <t xml:space="preserve">
Además en Sección </t>
        </r>
        <r>
          <rPr>
            <b/>
            <sz val="9"/>
            <color indexed="81"/>
            <rFont val="Tahoma"/>
            <family val="2"/>
          </rPr>
          <t>4.- COMPLICACIONES</t>
        </r>
        <r>
          <rPr>
            <sz val="9"/>
            <color indexed="81"/>
            <rFont val="Tahoma"/>
            <family val="2"/>
          </rPr>
          <t xml:space="preserve"> en el campo </t>
        </r>
        <r>
          <rPr>
            <b/>
            <sz val="9"/>
            <color indexed="81"/>
            <rFont val="Tahoma"/>
            <family val="2"/>
          </rPr>
          <t>¿Ha presentado IAM?</t>
        </r>
        <r>
          <rPr>
            <sz val="9"/>
            <color indexed="81"/>
            <rFont val="Tahoma"/>
            <family val="2"/>
          </rPr>
          <t xml:space="preserve"> el valor </t>
        </r>
        <r>
          <rPr>
            <b/>
            <sz val="9"/>
            <color indexed="81"/>
            <rFont val="Tahoma"/>
            <family val="2"/>
          </rPr>
          <t>SI.</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Estatina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39" authorId="1" shapeId="0" xr:uid="{57D9FC1A-1732-41A9-AA4F-3BDB1C38C46B}">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b/>
            <sz val="9"/>
            <color indexed="81"/>
            <rFont val="Tahoma"/>
            <family val="2"/>
          </rPr>
          <t xml:space="preserve">
En Sección 4.- COMPLICACIONES en el campo ¿Ha presentado IAM? el valor SI.
Además, en el Campo ¿Tabaquismo Actual? tenga el valor Si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40" authorId="1" shapeId="0" xr:uid="{8B8DA4A4-4BBE-4C2D-B2B2-F6E258380D3E}">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Ácido Acetilsalicilico ó Otro Antiagregante Plaquetario
Además en Sección 4.- COMPLICACIONES en el campo ¿Ha presentado ACV? el valor SI.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41" authorId="1" shapeId="0" xr:uid="{99A982E8-6D81-43E3-AE39-97A985E3ADA8}">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En Sección </t>
        </r>
        <r>
          <rPr>
            <b/>
            <sz val="9"/>
            <color indexed="81"/>
            <rFont val="Tahoma"/>
            <family val="2"/>
          </rPr>
          <t>3.- PATOLOGÍAS / ANTECEDENTES MÓRBIDOS</t>
        </r>
        <r>
          <rPr>
            <sz val="9"/>
            <color indexed="81"/>
            <rFont val="Tahoma"/>
            <family val="2"/>
          </rPr>
          <t xml:space="preserve">  
- En el Campo Tiene</t>
        </r>
        <r>
          <rPr>
            <b/>
            <sz val="9"/>
            <color indexed="81"/>
            <rFont val="Tahoma"/>
            <family val="2"/>
          </rPr>
          <t xml:space="preserve"> Hipertensión Arterial,</t>
        </r>
        <r>
          <rPr>
            <sz val="9"/>
            <color indexed="81"/>
            <rFont val="Tahoma"/>
            <family val="2"/>
          </rPr>
          <t xml:space="preserve"> la opción </t>
        </r>
        <r>
          <rPr>
            <b/>
            <sz val="9"/>
            <color indexed="81"/>
            <rFont val="Tahoma"/>
            <family val="2"/>
          </rPr>
          <t xml:space="preserve">SI  </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el Campo Tiene </t>
        </r>
        <r>
          <rPr>
            <b/>
            <sz val="9"/>
            <color indexed="81"/>
            <rFont val="Tahoma"/>
            <family val="2"/>
          </rPr>
          <t>Dislipidemia,</t>
        </r>
        <r>
          <rPr>
            <sz val="9"/>
            <color indexed="81"/>
            <rFont val="Tahoma"/>
            <family val="2"/>
          </rPr>
          <t xml:space="preserve"> la opción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En la sección </t>
        </r>
        <r>
          <rPr>
            <b/>
            <sz val="9"/>
            <color indexed="81"/>
            <rFont val="Tahoma"/>
            <family val="2"/>
          </rPr>
          <t>8.- DERC - Detección y Prevención de la Progresión de la Enfermedad Renal Crónica</t>
        </r>
        <r>
          <rPr>
            <sz val="9"/>
            <color indexed="81"/>
            <rFont val="Tahoma"/>
            <family val="2"/>
          </rPr>
          <t xml:space="preserve">, en el campo </t>
        </r>
        <r>
          <rPr>
            <b/>
            <sz val="9"/>
            <color indexed="81"/>
            <rFont val="Tahoma"/>
            <family val="2"/>
          </rPr>
          <t>Enfermedad Renal Crónica</t>
        </r>
        <r>
          <rPr>
            <sz val="9"/>
            <color indexed="81"/>
            <rFont val="Tahoma"/>
            <family val="2"/>
          </rPr>
          <t xml:space="preserve"> una de las opciones, y además en campo </t>
        </r>
        <r>
          <rPr>
            <b/>
            <sz val="9"/>
            <color indexed="81"/>
            <rFont val="Tahoma"/>
            <family val="2"/>
          </rPr>
          <t xml:space="preserve">Estado ERC </t>
        </r>
        <r>
          <rPr>
            <sz val="9"/>
            <color indexed="81"/>
            <rFont val="Tahoma"/>
            <family val="2"/>
          </rPr>
          <t>el valor</t>
        </r>
        <r>
          <rPr>
            <b/>
            <sz val="9"/>
            <color indexed="81"/>
            <rFont val="Tahoma"/>
            <family val="2"/>
          </rPr>
          <t xml:space="preserve"> Ingreso o Seguimiento.</t>
        </r>
        <r>
          <rPr>
            <sz val="9"/>
            <color indexed="81"/>
            <rFont val="Tahoma"/>
            <family val="2"/>
          </rPr>
          <t xml:space="preserve">
Además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Estatina.
Además en Sección 4.- COMPLICACIONES en el campo ¿Ha presentado ACV? el valor SI.
</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42" authorId="2" shapeId="0" xr:uid="{DFF8740B-D608-4A3C-BCDD-0BBAB2B4F81F}">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 xml:space="preserve">"SALUD CARDIOVASCULAR INTEGRAL"";
</t>
        </r>
        <r>
          <rPr>
            <sz val="9"/>
            <color indexed="81"/>
            <rFont val="Tahoma"/>
            <family val="2"/>
          </rPr>
          <t xml:space="preserve">
- En la sección</t>
        </r>
        <r>
          <rPr>
            <b/>
            <sz val="9"/>
            <color indexed="81"/>
            <rFont val="Tahoma"/>
            <family val="2"/>
          </rPr>
          <t xml:space="preserve"> 8.- DERC - Detección y Prevención de la Progresión de la Enfermedad Renal Crónica</t>
        </r>
        <r>
          <rPr>
            <sz val="9"/>
            <color indexed="81"/>
            <rFont val="Tahoma"/>
            <family val="2"/>
          </rPr>
          <t xml:space="preserve">, en el  campo </t>
        </r>
        <r>
          <rPr>
            <b/>
            <sz val="9"/>
            <color indexed="81"/>
            <rFont val="Tahoma"/>
            <family val="2"/>
          </rPr>
          <t>Estado ERC</t>
        </r>
        <r>
          <rPr>
            <sz val="9"/>
            <color indexed="81"/>
            <rFont val="Tahoma"/>
            <family val="2"/>
          </rPr>
          <t xml:space="preserve"> el valor </t>
        </r>
        <r>
          <rPr>
            <b/>
            <sz val="9"/>
            <color indexed="81"/>
            <rFont val="Tahoma"/>
            <family val="2"/>
          </rPr>
          <t xml:space="preserve">Ingreso o Seguimiento </t>
        </r>
        <r>
          <rPr>
            <sz val="9"/>
            <color indexed="81"/>
            <rFont val="Tahoma"/>
            <family val="2"/>
          </rPr>
          <t xml:space="preserve">y  En campo </t>
        </r>
        <r>
          <rPr>
            <b/>
            <sz val="9"/>
            <color indexed="81"/>
            <rFont val="Tahoma"/>
            <family val="2"/>
          </rPr>
          <t>"Enfermedad Renal Crónica</t>
        </r>
        <r>
          <rPr>
            <sz val="9"/>
            <color indexed="81"/>
            <rFont val="Tahoma"/>
            <family val="2"/>
          </rPr>
          <t xml:space="preserve">" tenga uno de los siguientes valores;
Etapa del 1 al 5.
</t>
        </r>
        <r>
          <rPr>
            <b/>
            <sz val="9"/>
            <color indexed="81"/>
            <rFont val="Tahoma"/>
            <family val="2"/>
          </rPr>
          <t xml:space="preserve">  
G1 - A1: VFG &gt;o= a 90 y   RAC &lt;30     
G1 - A2:  VFG &gt;o= a 90 y RAC 30 a 300  (ERC / RA)      
G1 - A3:  VFG &gt;o= a 90 y RAC  &gt;300 (ERC / RA)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AH44" authorId="0" shapeId="0" xr:uid="{B944200F-DA0D-43F5-AAFD-2DD303738126}">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o en </t>
        </r>
        <r>
          <rPr>
            <b/>
            <sz val="9"/>
            <color indexed="81"/>
            <rFont val="Tahoma"/>
            <family val="2"/>
          </rPr>
          <t xml:space="preserve">Box - Pacientes Citados </t>
        </r>
        <r>
          <rPr>
            <sz val="9"/>
            <color indexed="81"/>
            <rFont val="Tahoma"/>
            <family val="2"/>
          </rPr>
          <t xml:space="preserve">el paciente indique un </t>
        </r>
        <r>
          <rPr>
            <b/>
            <sz val="9"/>
            <color indexed="81"/>
            <rFont val="Tahoma"/>
            <family val="2"/>
          </rPr>
          <t>Pueblo Indigena</t>
        </r>
        <r>
          <rPr>
            <sz val="9"/>
            <color indexed="81"/>
            <rFont val="Tahoma"/>
            <family val="2"/>
          </rPr>
          <t xml:space="preserve">
</t>
        </r>
      </text>
    </comment>
    <comment ref="AJ44" authorId="0" shapeId="0" xr:uid="{F03495A9-6CB7-4AA1-BC73-30B8DEF10329}">
      <text>
        <r>
          <rPr>
            <sz val="9"/>
            <color indexed="81"/>
            <rFont val="Tahoma"/>
            <family val="2"/>
          </rPr>
          <t>Se contabilizara a los pacientes que tengan en Admisión - usuario "Alerta Administrativa" o Box - Pacientes Citados - "Alertas Administrativas"</t>
        </r>
        <r>
          <rPr>
            <b/>
            <sz val="9"/>
            <color indexed="81"/>
            <rFont val="Tahoma"/>
            <family val="2"/>
          </rPr>
          <t xml:space="preserve">  "MIGRANTES"</t>
        </r>
        <r>
          <rPr>
            <sz val="9"/>
            <color indexed="81"/>
            <rFont val="Tahoma"/>
            <family val="2"/>
          </rPr>
          <t xml:space="preserve">
</t>
        </r>
      </text>
    </comment>
    <comment ref="C47" authorId="4" shapeId="0" xr:uid="{594CB42C-8156-4453-B0EB-AB39A197282F}">
      <text>
        <r>
          <rPr>
            <sz val="9"/>
            <color indexed="81"/>
            <rFont val="Tahoma"/>
            <family val="2"/>
          </rPr>
          <t xml:space="preserve">Total de usuarios Diabeticos que tenga una o más variables de la sección.
</t>
        </r>
      </text>
    </comment>
    <comment ref="C48" authorId="1" shapeId="0" xr:uid="{6064C3D1-B1DF-46D2-AD6D-C48D9D41B4FD}">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Ademas en campo</t>
        </r>
        <r>
          <rPr>
            <b/>
            <sz val="9"/>
            <color indexed="81"/>
            <rFont val="Tahoma"/>
            <family val="2"/>
          </rPr>
          <t xml:space="preserve"> RAC Relación Albumina/Creatinina</t>
        </r>
        <r>
          <rPr>
            <sz val="9"/>
            <color indexed="81"/>
            <rFont val="Tahoma"/>
            <family val="2"/>
          </rPr>
          <t xml:space="preserve"> tenga un </t>
        </r>
        <r>
          <rPr>
            <u/>
            <sz val="9"/>
            <color indexed="81"/>
            <rFont val="Tahoma"/>
            <family val="2"/>
          </rPr>
          <t>valor ingresado en el último año.</t>
        </r>
        <r>
          <rPr>
            <sz val="9"/>
            <color indexed="81"/>
            <rFont val="Tahoma"/>
            <family val="2"/>
          </rPr>
          <t xml:space="preserve">
Y
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49" authorId="1" shapeId="0" xr:uid="{644EC170-83F2-44C6-9416-71C183F37647}">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Y
Registre </t>
        </r>
        <r>
          <rPr>
            <b/>
            <sz val="9"/>
            <color indexed="81"/>
            <rFont val="Tahoma"/>
            <family val="2"/>
          </rPr>
          <t>VFG MDRD-4" o "VFG MDRD - 4 variables IDMS con calibracion"</t>
        </r>
        <r>
          <rPr>
            <sz val="9"/>
            <color indexed="81"/>
            <rFont val="Tahoma"/>
            <family val="2"/>
          </rPr>
          <t xml:space="preserve">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50" authorId="2" shapeId="0" xr:uid="{165855CB-52F7-4EE9-938B-14EE66702E08}">
      <text>
        <r>
          <rPr>
            <sz val="9"/>
            <color indexed="81"/>
            <rFont val="Tahoma"/>
            <family val="2"/>
          </rPr>
          <t>Este dato aparecerá  luego de que en la atención registrada en Módulo de Box/Pacientes citados ó Módulo Box/Agregar documento a una atención; se registre el Formulario Clínico: "</t>
        </r>
        <r>
          <rPr>
            <b/>
            <sz val="9"/>
            <color indexed="81"/>
            <rFont val="Tahoma"/>
            <family val="2"/>
          </rPr>
          <t>Nuevo Control Cardiovascular</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Y
Registrar valor de resultado el ultimo año en </t>
        </r>
        <r>
          <rPr>
            <b/>
            <sz val="9"/>
            <color indexed="81"/>
            <rFont val="Tahoma"/>
            <family val="2"/>
          </rPr>
          <t xml:space="preserve">"VFG MDRD-4" </t>
        </r>
        <r>
          <rPr>
            <sz val="9"/>
            <color indexed="81"/>
            <rFont val="Tahoma"/>
            <family val="2"/>
          </rPr>
          <t>o</t>
        </r>
        <r>
          <rPr>
            <b/>
            <sz val="9"/>
            <color indexed="81"/>
            <rFont val="Tahoma"/>
            <family val="2"/>
          </rPr>
          <t xml:space="preserve"> "VFG MDRD - 4 variables IDMS con calibracion"</t>
        </r>
        <r>
          <rPr>
            <sz val="9"/>
            <color indexed="81"/>
            <rFont val="Tahoma"/>
            <family val="2"/>
          </rPr>
          <t xml:space="preserve"> 
y
Además en campo </t>
        </r>
        <r>
          <rPr>
            <b/>
            <sz val="9"/>
            <color indexed="81"/>
            <rFont val="Tahoma"/>
            <family val="2"/>
          </rPr>
          <t>RAC Relación Albumina/Creatinina</t>
        </r>
        <r>
          <rPr>
            <sz val="9"/>
            <color indexed="81"/>
            <rFont val="Tahoma"/>
            <family val="2"/>
          </rPr>
          <t xml:space="preserve"> tenga un valor ingresado en el último año.
Y
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r>
          <rPr>
            <b/>
            <sz val="9"/>
            <color indexed="81"/>
            <rFont val="Tahoma"/>
            <family val="2"/>
          </rPr>
          <t>*</t>
        </r>
      </text>
    </comment>
    <comment ref="C51" authorId="1" shapeId="0" xr:uid="{BF95BE53-76A7-4700-A99E-12974D6DC595}">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debe tener registrado en el semestre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tener registrado  en Seccion </t>
        </r>
        <r>
          <rPr>
            <b/>
            <sz val="9"/>
            <color indexed="81"/>
            <rFont val="Tahoma"/>
            <family val="2"/>
          </rPr>
          <t>7.- OTROS EXÁMENES</t>
        </r>
        <r>
          <rPr>
            <sz val="9"/>
            <color indexed="81"/>
            <rFont val="Tahoma"/>
            <family val="2"/>
          </rPr>
          <t xml:space="preserve">  en el titulo </t>
        </r>
        <r>
          <rPr>
            <b/>
            <sz val="9"/>
            <color indexed="81"/>
            <rFont val="Tahoma"/>
            <family val="2"/>
          </rPr>
          <t>Fondo de Ojo</t>
        </r>
        <r>
          <rPr>
            <sz val="9"/>
            <color indexed="81"/>
            <rFont val="Tahoma"/>
            <family val="2"/>
          </rPr>
          <t xml:space="preserve">, tenga registrada una fecha en </t>
        </r>
        <r>
          <rPr>
            <b/>
            <sz val="9"/>
            <color indexed="81"/>
            <rFont val="Tahoma"/>
            <family val="2"/>
          </rPr>
          <t>"Fecha de Vigencia"</t>
        </r>
        <r>
          <rPr>
            <sz val="9"/>
            <color indexed="81"/>
            <rFont val="Tahoma"/>
            <family val="2"/>
          </rPr>
          <t xml:space="preserve">
</t>
        </r>
        <r>
          <rPr>
            <sz val="9"/>
            <color indexed="81"/>
            <rFont val="Tahoma"/>
            <family val="2"/>
          </rPr>
          <t xml:space="preserve">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t>
        </r>
        <r>
          <rPr>
            <sz val="9"/>
            <color indexed="81"/>
            <rFont val="Tahoma"/>
            <family val="2"/>
          </rPr>
          <t xml:space="preserve">
*Formularios Clínicos tambien se pueden agregar desde Modulo Box/Agregar documentos a una atencion*
</t>
        </r>
      </text>
    </comment>
    <comment ref="C52" authorId="0" shapeId="0" xr:uid="{6C8E9DE9-6940-4110-9C5F-AE31DEF476C6}">
      <text>
        <r>
          <rPr>
            <sz val="9"/>
            <color indexed="81"/>
            <rFont val="Tahoma"/>
            <family val="2"/>
          </rPr>
          <t xml:space="preserve">Este dato aparecerá  luego de que la atención registrada en </t>
        </r>
        <r>
          <rPr>
            <b/>
            <sz val="9"/>
            <color indexed="81"/>
            <rFont val="Tahoma"/>
            <family val="2"/>
          </rPr>
          <t xml:space="preserve">Módulo de Box/Pacientes citados o Módulo Atencion/Registro Atencion Individual 
</t>
        </r>
        <r>
          <rPr>
            <sz val="9"/>
            <color indexed="81"/>
            <rFont val="Tahoma"/>
            <family val="2"/>
          </rPr>
          <t xml:space="preserve">Estamento </t>
        </r>
        <r>
          <rPr>
            <b/>
            <sz val="9"/>
            <color indexed="81"/>
            <rFont val="Tahoma"/>
            <family val="2"/>
          </rPr>
          <t xml:space="preserve">Podólogo/a </t>
        </r>
        <r>
          <rPr>
            <sz val="9"/>
            <color indexed="81"/>
            <rFont val="Tahoma"/>
            <family val="2"/>
          </rPr>
          <t xml:space="preserve">registre la actividad:
-  </t>
        </r>
        <r>
          <rPr>
            <b/>
            <sz val="9"/>
            <color indexed="81"/>
            <rFont val="Tahoma"/>
            <family val="2"/>
          </rPr>
          <t xml:space="preserve">Atencion Podológica </t>
        </r>
        <r>
          <rPr>
            <sz val="9"/>
            <color indexed="81"/>
            <rFont val="Tahoma"/>
            <family val="2"/>
          </rPr>
          <t xml:space="preserve">
(Se contabilizara registro vigente realizado dentro de los ultimos 12 meses a la fecha de corte)
Y 
El usuario debe contar con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aplicado, en el campo
-  En Sección </t>
        </r>
        <r>
          <rPr>
            <b/>
            <sz val="9"/>
            <color indexed="81"/>
            <rFont val="Tahoma"/>
            <family val="2"/>
          </rPr>
          <t xml:space="preserve">3.- PATOLOGÍAS / ANTECEDENTES MÓRBIDOS </t>
        </r>
        <r>
          <rPr>
            <sz val="9"/>
            <color indexed="81"/>
            <rFont val="Tahoma"/>
            <family val="2"/>
          </rPr>
          <t xml:space="preserve"> en el Campo Tiene </t>
        </r>
        <r>
          <rPr>
            <b/>
            <sz val="9"/>
            <color indexed="81"/>
            <rFont val="Tahoma"/>
            <family val="2"/>
          </rPr>
          <t>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y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53" authorId="1" shapeId="0" xr:uid="{53116AFC-D546-4A6B-9FDD-C8953569C357}">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t>
        </r>
        <r>
          <rPr>
            <b/>
            <sz val="9"/>
            <color indexed="81"/>
            <rFont val="Tahoma"/>
            <family val="2"/>
          </rPr>
          <t xml:space="preserve"> </t>
        </r>
        <r>
          <rPr>
            <sz val="9"/>
            <color indexed="81"/>
            <rFont val="Tahoma"/>
            <family val="2"/>
          </rPr>
          <t xml:space="preserve">y en Seccion </t>
        </r>
        <r>
          <rPr>
            <b/>
            <sz val="9"/>
            <color indexed="81"/>
            <rFont val="Tahoma"/>
            <family val="2"/>
          </rPr>
          <t>Electrocardiograma</t>
        </r>
        <r>
          <rPr>
            <sz val="9"/>
            <color indexed="81"/>
            <rFont val="Tahoma"/>
            <family val="2"/>
          </rPr>
          <t xml:space="preserve"> en el campo </t>
        </r>
        <r>
          <rPr>
            <b/>
            <sz val="9"/>
            <color indexed="81"/>
            <rFont val="Tahoma"/>
            <family val="2"/>
          </rPr>
          <t xml:space="preserve">"Fecha Vigencia ECG".
</t>
        </r>
        <r>
          <rPr>
            <sz val="9"/>
            <color indexed="81"/>
            <rFont val="Tahoma"/>
            <family val="2"/>
          </rPr>
          <t xml:space="preserve">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54" authorId="1" shapeId="0" xr:uid="{3DC0C8B6-2237-4A10-84C3-DA4272E65114}">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en Seccion </t>
        </r>
        <r>
          <rPr>
            <b/>
            <sz val="9"/>
            <color indexed="81"/>
            <rFont val="Tahoma"/>
            <family val="2"/>
          </rPr>
          <t>Patologías Cronico</t>
        </r>
        <r>
          <rPr>
            <sz val="9"/>
            <color indexed="81"/>
            <rFont val="Tahoma"/>
            <family val="2"/>
          </rPr>
          <t>, en campo</t>
        </r>
        <r>
          <rPr>
            <b/>
            <sz val="9"/>
            <color indexed="81"/>
            <rFont val="Tahoma"/>
            <family val="2"/>
          </rPr>
          <t xml:space="preserve"> ¿Tratamiento de Insulina?</t>
        </r>
        <r>
          <rPr>
            <sz val="9"/>
            <color indexed="81"/>
            <rFont val="Tahoma"/>
            <family val="2"/>
          </rPr>
          <t xml:space="preserve"> tenga el valor </t>
        </r>
        <r>
          <rPr>
            <b/>
            <sz val="9"/>
            <color indexed="81"/>
            <rFont val="Tahoma"/>
            <family val="2"/>
          </rPr>
          <t>SI.</t>
        </r>
        <r>
          <rPr>
            <sz val="9"/>
            <color indexed="81"/>
            <rFont val="Tahoma"/>
            <family val="2"/>
          </rPr>
          <t xml:space="preserve"> (ingresada en el ultimo año)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
</t>
        </r>
        <r>
          <rPr>
            <b/>
            <sz val="9"/>
            <color indexed="81"/>
            <rFont val="Tahoma"/>
            <family val="2"/>
          </rPr>
          <t xml:space="preserve">
</t>
        </r>
      </text>
    </comment>
    <comment ref="C55" authorId="1" shapeId="0" xr:uid="{C472718F-87BD-4036-A296-271AB371753C}">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se registre el Formulario Clínico: "</t>
        </r>
        <r>
          <rPr>
            <b/>
            <sz val="9"/>
            <color indexed="81"/>
            <rFont val="Tahoma"/>
            <family val="2"/>
          </rPr>
          <t>SALUD CARDIOVASCULAR INTEGRAL</t>
        </r>
        <r>
          <rPr>
            <sz val="9"/>
            <color indexed="81"/>
            <rFont val="Tahoma"/>
            <family val="2"/>
          </rPr>
          <t xml:space="preserve">"; en el campo:
-  En Sección </t>
        </r>
        <r>
          <rPr>
            <b/>
            <sz val="9"/>
            <color indexed="81"/>
            <rFont val="Tahoma"/>
            <family val="2"/>
          </rPr>
          <t>3.- PATOLOGÍAS / ANTECEDENTES MÓRBIDOS</t>
        </r>
        <r>
          <rPr>
            <sz val="9"/>
            <color indexed="81"/>
            <rFont val="Tahoma"/>
            <family val="2"/>
          </rPr>
          <t xml:space="preserve">  en el Campo </t>
        </r>
        <r>
          <rPr>
            <b/>
            <sz val="9"/>
            <color indexed="81"/>
            <rFont val="Tahoma"/>
            <family val="2"/>
          </rPr>
          <t>Tiene Diabetes Mellitus 2</t>
        </r>
        <r>
          <rPr>
            <sz val="9"/>
            <color indexed="81"/>
            <rFont val="Tahoma"/>
            <family val="2"/>
          </rPr>
          <t>, la opción SI y en campo Estado el valor Ingreso o Seguimiento
(el registro haya sido realizado hasta un plazo maximo de 1 año hacia atrás desde la fecha de corte)
Además</t>
        </r>
        <r>
          <rPr>
            <sz val="9"/>
            <color indexed="81"/>
            <rFont val="Tahoma"/>
            <family val="2"/>
          </rPr>
          <t xml:space="preserve"> en campo </t>
        </r>
        <r>
          <rPr>
            <b/>
            <sz val="9"/>
            <color indexed="81"/>
            <rFont val="Tahoma"/>
            <family val="2"/>
          </rPr>
          <t>¿Tratamiento de Insulina?</t>
        </r>
        <r>
          <rPr>
            <sz val="9"/>
            <color indexed="81"/>
            <rFont val="Tahoma"/>
            <family val="2"/>
          </rPr>
          <t xml:space="preserve"> tenga el valor </t>
        </r>
        <r>
          <rPr>
            <b/>
            <sz val="9"/>
            <color indexed="81"/>
            <rFont val="Tahoma"/>
            <family val="2"/>
          </rPr>
          <t>SI</t>
        </r>
        <r>
          <rPr>
            <sz val="9"/>
            <color indexed="81"/>
            <rFont val="Tahoma"/>
            <family val="2"/>
          </rPr>
          <t xml:space="preserve">. (ingresada en el ultimo año)
Además, en </t>
        </r>
        <r>
          <rPr>
            <b/>
            <sz val="9"/>
            <color indexed="81"/>
            <rFont val="Tahoma"/>
            <family val="2"/>
          </rPr>
          <t>Seccion Examenes de Laboratorio</t>
        </r>
        <r>
          <rPr>
            <sz val="9"/>
            <color indexed="81"/>
            <rFont val="Tahoma"/>
            <family val="2"/>
          </rPr>
          <t xml:space="preserve">, en campo </t>
        </r>
        <r>
          <rPr>
            <b/>
            <sz val="9"/>
            <color indexed="81"/>
            <rFont val="Tahoma"/>
            <family val="2"/>
          </rPr>
          <t>Hemoglobina Glicosilada (HbA1c)</t>
        </r>
        <r>
          <rPr>
            <sz val="9"/>
            <color indexed="81"/>
            <rFont val="Tahoma"/>
            <family val="2"/>
          </rPr>
          <t xml:space="preserve"> tenga </t>
        </r>
        <r>
          <rPr>
            <b/>
            <sz val="9"/>
            <color indexed="81"/>
            <rFont val="Tahoma"/>
            <family val="2"/>
          </rPr>
          <t>un valor &lt; 7%</t>
        </r>
        <r>
          <rPr>
            <sz val="9"/>
            <color indexed="81"/>
            <rFont val="Tahoma"/>
            <family val="2"/>
          </rPr>
          <t xml:space="preserve"> en </t>
        </r>
        <r>
          <rPr>
            <b/>
            <sz val="9"/>
            <color indexed="81"/>
            <rFont val="Tahoma"/>
            <family val="2"/>
          </rPr>
          <t>menores de 80 años</t>
        </r>
        <r>
          <rPr>
            <sz val="9"/>
            <color indexed="81"/>
            <rFont val="Tahoma"/>
            <family val="2"/>
          </rPr>
          <t xml:space="preserve">
o en campo </t>
        </r>
        <r>
          <rPr>
            <b/>
            <sz val="9"/>
            <color indexed="81"/>
            <rFont val="Tahoma"/>
            <family val="2"/>
          </rPr>
          <t xml:space="preserve">Hemoglobina Glicosilada (HbA1c) </t>
        </r>
        <r>
          <rPr>
            <sz val="9"/>
            <color indexed="81"/>
            <rFont val="Tahoma"/>
            <family val="2"/>
          </rPr>
          <t xml:space="preserve">tenga </t>
        </r>
        <r>
          <rPr>
            <b/>
            <sz val="9"/>
            <color indexed="81"/>
            <rFont val="Tahoma"/>
            <family val="2"/>
          </rPr>
          <t xml:space="preserve">un valor &lt; 8% </t>
        </r>
        <r>
          <rPr>
            <sz val="9"/>
            <color indexed="81"/>
            <rFont val="Tahoma"/>
            <family val="2"/>
          </rPr>
          <t xml:space="preserve">en </t>
        </r>
        <r>
          <rPr>
            <b/>
            <sz val="9"/>
            <color indexed="81"/>
            <rFont val="Tahoma"/>
            <family val="2"/>
          </rPr>
          <t>mayores o igual de 80 años</t>
        </r>
        <r>
          <rPr>
            <sz val="9"/>
            <color indexed="81"/>
            <rFont val="Tahoma"/>
            <family val="2"/>
          </rPr>
          <t xml:space="preserve">
y 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r>
          <rPr>
            <b/>
            <sz val="9"/>
            <color indexed="81"/>
            <rFont val="Tahoma"/>
            <family val="2"/>
          </rPr>
          <t xml:space="preserve">
</t>
        </r>
      </text>
    </comment>
    <comment ref="C56" authorId="1" shapeId="0" xr:uid="{F4752461-CB7D-4C6B-850F-9BE7CA7B014F}">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en Seccion </t>
        </r>
        <r>
          <rPr>
            <b/>
            <sz val="9"/>
            <color indexed="81"/>
            <rFont val="Tahoma"/>
            <family val="2"/>
          </rPr>
          <t xml:space="preserve">Examenes de Laboratorio, </t>
        </r>
        <r>
          <rPr>
            <sz val="9"/>
            <color indexed="81"/>
            <rFont val="Tahoma"/>
            <family val="2"/>
          </rPr>
          <t xml:space="preserve">en campo </t>
        </r>
        <r>
          <rPr>
            <b/>
            <sz val="9"/>
            <color indexed="81"/>
            <rFont val="Tahoma"/>
            <family val="2"/>
          </rPr>
          <t xml:space="preserve">Hemoglobina Glicosilada (HbA1c) tenga un valor &gt; =  9% </t>
        </r>
        <r>
          <rPr>
            <sz val="9"/>
            <color indexed="81"/>
            <rFont val="Tahoma"/>
            <family val="2"/>
          </rPr>
          <t xml:space="preserve">(registrado en el último año)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57" authorId="1" shapeId="0" xr:uid="{70F1C679-5F43-4F4F-BEFF-FBC0B2E2357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t>
        </r>
        <r>
          <rPr>
            <b/>
            <sz val="9"/>
            <color indexed="81"/>
            <rFont val="Tahoma"/>
            <family val="2"/>
          </rPr>
          <t xml:space="preserve">Sección 3.- PATOLOGÍAS / ANTECEDENTES MÓRBIDOS </t>
        </r>
        <r>
          <rPr>
            <sz val="9"/>
            <color indexed="81"/>
            <rFont val="Tahoma"/>
            <family val="2"/>
          </rPr>
          <t xml:space="preserve"> en el Campo</t>
        </r>
        <r>
          <rPr>
            <b/>
            <sz val="9"/>
            <color indexed="81"/>
            <rFont val="Tahoma"/>
            <family val="2"/>
          </rPr>
          <t xml:space="preserve"> 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"Enfermedad Renal Crónica"</t>
        </r>
        <r>
          <rPr>
            <sz val="9"/>
            <color indexed="81"/>
            <rFont val="Tahoma"/>
            <family val="2"/>
          </rPr>
          <t xml:space="preserve"> tenga alguno de estos valores;
</t>
        </r>
        <r>
          <rPr>
            <b/>
            <sz val="9"/>
            <color indexed="81"/>
            <rFont val="Tahoma"/>
            <family val="2"/>
          </rPr>
          <t xml:space="preserve">- G3b - A1:  VFG 30 a 44 y RAC &lt;30 (ERC/RA)        
- G3b - A2:  VFG 30 a 44 y RAC 30 a 300 (ERC/RA)    
- G3b - A3:  VFG 30 a 44 y RAC &gt;300 (ERC/RA)
- G4 - A1:   VFG 15 a 29 y RAC &lt;30 (ERC/RA)        
- G4 - A2:  VFG 15 a 29 y RAC 30 a 300 (ERC/RA)      
- G4 - A3:  VFG 15 a 29 y RAC &gt;300 (ERC/RA)
- G5 - A1:  VFG &lt;15 y RAC &lt;30 (ERC/RA)      
- G5 - A2:  VFG &lt;15 y RAC 30 a 300 (ERC/RA)  
- G5 - A3:  VFG &lt;15 y RAC &gt;300 (ERC/RA) </t>
        </r>
        <r>
          <rPr>
            <sz val="9"/>
            <color indexed="81"/>
            <rFont val="Tahoma"/>
            <family val="2"/>
          </rPr>
          <t xml:space="preserve">
Además, </t>
        </r>
        <r>
          <rPr>
            <sz val="9"/>
            <color indexed="81"/>
            <rFont val="Tahoma"/>
            <family val="2"/>
          </rPr>
          <t>en el campo "</t>
        </r>
        <r>
          <rPr>
            <b/>
            <sz val="9"/>
            <color indexed="81"/>
            <rFont val="Tahoma"/>
            <family val="2"/>
          </rPr>
          <t xml:space="preserve">En tratamiento farmacologico" </t>
        </r>
        <r>
          <rPr>
            <sz val="9"/>
            <color indexed="81"/>
            <rFont val="Tahoma"/>
            <family val="2"/>
          </rPr>
          <t xml:space="preserve"> tenga el valor </t>
        </r>
        <r>
          <rPr>
            <b/>
            <sz val="9"/>
            <color indexed="81"/>
            <rFont val="Tahoma"/>
            <family val="2"/>
          </rPr>
          <t>IECA y/o ARA II</t>
        </r>
        <r>
          <rPr>
            <sz val="9"/>
            <color indexed="81"/>
            <rFont val="Tahoma"/>
            <family val="2"/>
          </rPr>
          <t xml:space="preserve">  (ingresado en el último año) y Además en campos </t>
        </r>
        <r>
          <rPr>
            <b/>
            <sz val="9"/>
            <color indexed="81"/>
            <rFont val="Tahoma"/>
            <family val="2"/>
          </rPr>
          <t xml:space="preserve">"Fecha Próximo Control"  </t>
        </r>
        <r>
          <rPr>
            <sz val="9"/>
            <color indexed="81"/>
            <rFont val="Tahoma"/>
            <family val="2"/>
          </rPr>
          <t xml:space="preserve">tenga registrada una fecha aproximada de su proximo control del programa
*Formularios Clínicos tambien se pueden agregar desde Modulo Box/Agregar documentos a una atencion*
</t>
        </r>
      </text>
    </comment>
    <comment ref="C58" authorId="1" shapeId="0" xr:uid="{50ACE707-FA11-4F49-971D-95CF3118BAC9}">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 </t>
        </r>
        <r>
          <rPr>
            <b/>
            <sz val="9"/>
            <color indexed="81"/>
            <rFont val="Tahoma"/>
            <family val="2"/>
          </rPr>
          <t>Colesterol LDL (mg/dl)</t>
        </r>
        <r>
          <rPr>
            <sz val="9"/>
            <color indexed="81"/>
            <rFont val="Tahoma"/>
            <family val="2"/>
          </rPr>
          <t xml:space="preserve"> tenga un </t>
        </r>
        <r>
          <rPr>
            <u/>
            <sz val="9"/>
            <color indexed="81"/>
            <rFont val="Tahoma"/>
            <family val="2"/>
          </rPr>
          <t>valor ingresado en el último año</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59" authorId="1" shapeId="0" xr:uid="{8F09BE00-5325-44FF-A528-BF4AEEEA12E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 </t>
        </r>
        <r>
          <rPr>
            <b/>
            <sz val="9"/>
            <color indexed="81"/>
            <rFont val="Tahoma"/>
            <family val="2"/>
          </rPr>
          <t xml:space="preserve">Hipoglicemias Recurrentes </t>
        </r>
        <r>
          <rPr>
            <sz val="9"/>
            <color indexed="81"/>
            <rFont val="Tahoma"/>
            <family val="2"/>
          </rPr>
          <t>y contenga el Valor</t>
        </r>
        <r>
          <rPr>
            <b/>
            <sz val="9"/>
            <color indexed="81"/>
            <rFont val="Tahoma"/>
            <family val="2"/>
          </rPr>
          <t xml:space="preserve"> Sí</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60" authorId="1" shapeId="0" xr:uid="{662C2628-745C-4DC4-8BF6-29E0B5CC9A6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 </t>
        </r>
        <r>
          <rPr>
            <b/>
            <sz val="9"/>
            <color indexed="81"/>
            <rFont val="Tahoma"/>
            <family val="2"/>
          </rPr>
          <t>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Y en Sección</t>
        </r>
        <r>
          <rPr>
            <b/>
            <sz val="9"/>
            <color indexed="81"/>
            <rFont val="Tahoma"/>
            <family val="2"/>
          </rPr>
          <t xml:space="preserve"> 12.- ERUPD - Estimación del Riesgo de Ulceración de los pies en personas con Diabetes Mellitus</t>
        </r>
        <r>
          <rPr>
            <sz val="9"/>
            <color indexed="81"/>
            <rFont val="Tahoma"/>
            <family val="2"/>
          </rPr>
          <t xml:space="preserve">, en titulo </t>
        </r>
        <r>
          <rPr>
            <b/>
            <sz val="9"/>
            <color indexed="81"/>
            <rFont val="Tahoma"/>
            <family val="2"/>
          </rPr>
          <t>Resultado</t>
        </r>
        <r>
          <rPr>
            <sz val="9"/>
            <color indexed="81"/>
            <rFont val="Tahoma"/>
            <family val="2"/>
          </rPr>
          <t xml:space="preserve"> en el campo </t>
        </r>
        <r>
          <rPr>
            <b/>
            <sz val="9"/>
            <color indexed="81"/>
            <rFont val="Tahoma"/>
            <family val="2"/>
          </rPr>
          <t xml:space="preserve">Riesgo </t>
        </r>
        <r>
          <rPr>
            <sz val="9"/>
            <color indexed="81"/>
            <rFont val="Tahoma"/>
            <family val="2"/>
          </rPr>
          <t xml:space="preserve">selecionar </t>
        </r>
        <r>
          <rPr>
            <b/>
            <sz val="9"/>
            <color indexed="81"/>
            <rFont val="Tahoma"/>
            <family val="2"/>
          </rPr>
          <t>Riesgo Bajo</t>
        </r>
        <r>
          <rPr>
            <sz val="9"/>
            <color indexed="81"/>
            <rFont val="Tahoma"/>
            <family val="2"/>
          </rPr>
          <t xml:space="preserve">. Además, su registro no debe ser superior a 1 año hacia atras a la fecha de corte. 
Además en campos </t>
        </r>
        <r>
          <rPr>
            <b/>
            <sz val="9"/>
            <color indexed="81"/>
            <rFont val="Tahoma"/>
            <family val="2"/>
          </rPr>
          <t xml:space="preserve">"Fecha Próximo Control" </t>
        </r>
        <r>
          <rPr>
            <sz val="9"/>
            <color indexed="81"/>
            <rFont val="Tahoma"/>
            <family val="2"/>
          </rPr>
          <t xml:space="preserve"> tenga registrada una fecha aproximada de su proximo control al programa
</t>
        </r>
        <r>
          <rPr>
            <u/>
            <sz val="9"/>
            <color indexed="81"/>
            <rFont val="Tahoma"/>
            <family val="2"/>
          </rPr>
          <t xml:space="preserve">Este registro debe ser efectuado por estamendo "Medico" o "Enfermera/o"
</t>
        </r>
        <r>
          <rPr>
            <sz val="9"/>
            <color indexed="81"/>
            <rFont val="Tahoma"/>
            <family val="2"/>
          </rPr>
          <t xml:space="preserve">
*Formularios Clínicos tambien se pueden agregar desde Modulo Box/Agregar documentos a una atencion*
</t>
        </r>
      </text>
    </comment>
    <comment ref="C61" authorId="1" shapeId="0" xr:uid="{A09F39AD-294C-457E-A2FC-32BBF8341D8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 </t>
        </r>
        <r>
          <rPr>
            <b/>
            <sz val="9"/>
            <color indexed="81"/>
            <rFont val="Tahoma"/>
            <family val="2"/>
          </rPr>
          <t>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Y en Sección</t>
        </r>
        <r>
          <rPr>
            <b/>
            <sz val="9"/>
            <color indexed="81"/>
            <rFont val="Tahoma"/>
            <family val="2"/>
          </rPr>
          <t xml:space="preserve"> 12.- ERUPD - Estimación del Riesgo de Ulceración de los pies en personas con Diabetes Mellitus</t>
        </r>
        <r>
          <rPr>
            <sz val="9"/>
            <color indexed="81"/>
            <rFont val="Tahoma"/>
            <family val="2"/>
          </rPr>
          <t xml:space="preserve">, en titulo </t>
        </r>
        <r>
          <rPr>
            <b/>
            <sz val="9"/>
            <color indexed="81"/>
            <rFont val="Tahoma"/>
            <family val="2"/>
          </rPr>
          <t>Resultado</t>
        </r>
        <r>
          <rPr>
            <sz val="9"/>
            <color indexed="81"/>
            <rFont val="Tahoma"/>
            <family val="2"/>
          </rPr>
          <t xml:space="preserve"> en el campo </t>
        </r>
        <r>
          <rPr>
            <b/>
            <sz val="9"/>
            <color indexed="81"/>
            <rFont val="Tahoma"/>
            <family val="2"/>
          </rPr>
          <t xml:space="preserve">Riesgo </t>
        </r>
        <r>
          <rPr>
            <sz val="9"/>
            <color indexed="81"/>
            <rFont val="Tahoma"/>
            <family val="2"/>
          </rPr>
          <t xml:space="preserve">selecionar </t>
        </r>
        <r>
          <rPr>
            <b/>
            <sz val="9"/>
            <color indexed="81"/>
            <rFont val="Tahoma"/>
            <family val="2"/>
          </rPr>
          <t>Riesgo Moderado</t>
        </r>
        <r>
          <rPr>
            <sz val="9"/>
            <color indexed="81"/>
            <rFont val="Tahoma"/>
            <family val="2"/>
          </rPr>
          <t xml:space="preserve">. Además, su registro no debe ser superior a 1 año hacia atras a la fecha de corte. 
Además en campos </t>
        </r>
        <r>
          <rPr>
            <b/>
            <sz val="9"/>
            <color indexed="81"/>
            <rFont val="Tahoma"/>
            <family val="2"/>
          </rPr>
          <t xml:space="preserve">"Fecha Próximo Control" </t>
        </r>
        <r>
          <rPr>
            <sz val="9"/>
            <color indexed="81"/>
            <rFont val="Tahoma"/>
            <family val="2"/>
          </rPr>
          <t xml:space="preserve"> tenga registrada una fecha aproximada de su proximo control al programa
</t>
        </r>
        <r>
          <rPr>
            <u/>
            <sz val="9"/>
            <color indexed="81"/>
            <rFont val="Tahoma"/>
            <family val="2"/>
          </rPr>
          <t xml:space="preserve">Este registro debe ser efectuado por estamendo "Medico" o "Enfermera/o"
</t>
        </r>
        <r>
          <rPr>
            <sz val="9"/>
            <color indexed="81"/>
            <rFont val="Tahoma"/>
            <family val="2"/>
          </rPr>
          <t xml:space="preserve">
*Formularios Clínicos tambien se pueden agregar desde Modulo Box/Agregar documentos a una atencion*
</t>
        </r>
      </text>
    </comment>
    <comment ref="C62" authorId="1" shapeId="0" xr:uid="{A1D3B5ED-AF9B-4C4E-A241-DE721C51D9B7}">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 </t>
        </r>
        <r>
          <rPr>
            <b/>
            <sz val="9"/>
            <color indexed="81"/>
            <rFont val="Tahoma"/>
            <family val="2"/>
          </rPr>
          <t>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Y en Sección</t>
        </r>
        <r>
          <rPr>
            <b/>
            <sz val="9"/>
            <color indexed="81"/>
            <rFont val="Tahoma"/>
            <family val="2"/>
          </rPr>
          <t xml:space="preserve"> 12.- ERUPD - Estimación del Riesgo de Ulceración de los pies en personas con Diabetes Mellitus</t>
        </r>
        <r>
          <rPr>
            <sz val="9"/>
            <color indexed="81"/>
            <rFont val="Tahoma"/>
            <family val="2"/>
          </rPr>
          <t xml:space="preserve">, en titulo </t>
        </r>
        <r>
          <rPr>
            <b/>
            <sz val="9"/>
            <color indexed="81"/>
            <rFont val="Tahoma"/>
            <family val="2"/>
          </rPr>
          <t>Resultado</t>
        </r>
        <r>
          <rPr>
            <sz val="9"/>
            <color indexed="81"/>
            <rFont val="Tahoma"/>
            <family val="2"/>
          </rPr>
          <t xml:space="preserve"> en el campo </t>
        </r>
        <r>
          <rPr>
            <b/>
            <sz val="9"/>
            <color indexed="81"/>
            <rFont val="Tahoma"/>
            <family val="2"/>
          </rPr>
          <t xml:space="preserve">Riesgo </t>
        </r>
        <r>
          <rPr>
            <sz val="9"/>
            <color indexed="81"/>
            <rFont val="Tahoma"/>
            <family val="2"/>
          </rPr>
          <t xml:space="preserve">selecionar </t>
        </r>
        <r>
          <rPr>
            <b/>
            <sz val="9"/>
            <color indexed="81"/>
            <rFont val="Tahoma"/>
            <family val="2"/>
          </rPr>
          <t>Riesgo Alto</t>
        </r>
        <r>
          <rPr>
            <sz val="9"/>
            <color indexed="81"/>
            <rFont val="Tahoma"/>
            <family val="2"/>
          </rPr>
          <t xml:space="preserve">. Además, su registro no debe ser superior a 1 año hacia atras a la fecha de corte. 
Además en campos </t>
        </r>
        <r>
          <rPr>
            <b/>
            <sz val="9"/>
            <color indexed="81"/>
            <rFont val="Tahoma"/>
            <family val="2"/>
          </rPr>
          <t xml:space="preserve">"Fecha Próximo Control" </t>
        </r>
        <r>
          <rPr>
            <sz val="9"/>
            <color indexed="81"/>
            <rFont val="Tahoma"/>
            <family val="2"/>
          </rPr>
          <t xml:space="preserve"> tenga registrada una fecha aproximada de su proximo control al programa
</t>
        </r>
        <r>
          <rPr>
            <u/>
            <sz val="9"/>
            <color indexed="81"/>
            <rFont val="Tahoma"/>
            <family val="2"/>
          </rPr>
          <t xml:space="preserve">Este registro debe ser efectuado por estamendo "Medico" o "Enfermera/o"
</t>
        </r>
        <r>
          <rPr>
            <sz val="9"/>
            <color indexed="81"/>
            <rFont val="Tahoma"/>
            <family val="2"/>
          </rPr>
          <t xml:space="preserve">
*Formularios Clínicos tambien se pueden agregar desde Modulo Box/Agregar documentos a una atencion*
</t>
        </r>
      </text>
    </comment>
    <comment ref="C63" authorId="1" shapeId="0" xr:uid="{77D65A4C-D0DC-4003-AE41-2D5D1BDFA634}">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 </t>
        </r>
        <r>
          <rPr>
            <b/>
            <sz val="9"/>
            <color indexed="81"/>
            <rFont val="Tahoma"/>
            <family val="2"/>
          </rPr>
          <t>Tiene Diabetes Mellitus 2,</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Ingreso o Seguimiento</t>
        </r>
        <r>
          <rPr>
            <sz val="9"/>
            <color indexed="81"/>
            <rFont val="Tahoma"/>
            <family val="2"/>
          </rPr>
          <t xml:space="preserve">
(el registro haya sido realizado hasta un plazo maximo de 1 año hacia atrás desde la fecha de corte)
Y en Sección</t>
        </r>
        <r>
          <rPr>
            <b/>
            <sz val="9"/>
            <color indexed="81"/>
            <rFont val="Tahoma"/>
            <family val="2"/>
          </rPr>
          <t xml:space="preserve"> 12.- ERUPD - Estimación del Riesgo de Ulceración de los pies en personas con Diabetes Mellitus</t>
        </r>
        <r>
          <rPr>
            <sz val="9"/>
            <color indexed="81"/>
            <rFont val="Tahoma"/>
            <family val="2"/>
          </rPr>
          <t xml:space="preserve">, en titulo </t>
        </r>
        <r>
          <rPr>
            <b/>
            <sz val="9"/>
            <color indexed="81"/>
            <rFont val="Tahoma"/>
            <family val="2"/>
          </rPr>
          <t>Resultado</t>
        </r>
        <r>
          <rPr>
            <sz val="9"/>
            <color indexed="81"/>
            <rFont val="Tahoma"/>
            <family val="2"/>
          </rPr>
          <t xml:space="preserve"> en el campo </t>
        </r>
        <r>
          <rPr>
            <b/>
            <sz val="9"/>
            <color indexed="81"/>
            <rFont val="Tahoma"/>
            <family val="2"/>
          </rPr>
          <t xml:space="preserve">Riesgo </t>
        </r>
        <r>
          <rPr>
            <sz val="9"/>
            <color indexed="81"/>
            <rFont val="Tahoma"/>
            <family val="2"/>
          </rPr>
          <t xml:space="preserve">selecionar </t>
        </r>
        <r>
          <rPr>
            <b/>
            <sz val="9"/>
            <color indexed="81"/>
            <rFont val="Tahoma"/>
            <family val="2"/>
          </rPr>
          <t>Riesgo Máximo</t>
        </r>
        <r>
          <rPr>
            <sz val="9"/>
            <color indexed="81"/>
            <rFont val="Tahoma"/>
            <family val="2"/>
          </rPr>
          <t xml:space="preserve">. Además, su registro no debe ser superior a 1 año hacia atras a la fecha de corte. 
Además en campos </t>
        </r>
        <r>
          <rPr>
            <b/>
            <sz val="9"/>
            <color indexed="81"/>
            <rFont val="Tahoma"/>
            <family val="2"/>
          </rPr>
          <t xml:space="preserve">"Fecha Próximo Control" </t>
        </r>
        <r>
          <rPr>
            <sz val="9"/>
            <color indexed="81"/>
            <rFont val="Tahoma"/>
            <family val="2"/>
          </rPr>
          <t xml:space="preserve"> tenga registrada una fecha aproximada de su proximo control al programa
</t>
        </r>
        <r>
          <rPr>
            <u/>
            <sz val="9"/>
            <color indexed="81"/>
            <rFont val="Tahoma"/>
            <family val="2"/>
          </rPr>
          <t xml:space="preserve">Este registro debe ser efectuado por estamendo "Medico" o "Enfermera/o"
</t>
        </r>
        <r>
          <rPr>
            <sz val="9"/>
            <color indexed="81"/>
            <rFont val="Tahoma"/>
            <family val="2"/>
          </rPr>
          <t xml:space="preserve">
*Formularios Clínicos tambien se pueden agregar desde Modulo Box/Agregar documentos a una atencion*
</t>
        </r>
      </text>
    </comment>
    <comment ref="C64" authorId="1" shapeId="0" xr:uid="{D6631F28-CEDC-4764-8CDF-A8A7242493AA}">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Y en</t>
        </r>
        <r>
          <rPr>
            <b/>
            <sz val="9"/>
            <color indexed="81"/>
            <rFont val="Tahoma"/>
            <family val="2"/>
          </rPr>
          <t xml:space="preserve"> Formulario Clinico "Valoración de Úlceras del Pie Diabético"</t>
        </r>
        <r>
          <rPr>
            <sz val="9"/>
            <color indexed="81"/>
            <rFont val="Tahoma"/>
            <family val="2"/>
          </rPr>
          <t xml:space="preserve"> o </t>
        </r>
        <r>
          <rPr>
            <b/>
            <sz val="9"/>
            <color indexed="81"/>
            <rFont val="Tahoma"/>
            <family val="2"/>
          </rPr>
          <t>"Pauta de Valorización de la Herida"</t>
        </r>
        <r>
          <rPr>
            <sz val="9"/>
            <color indexed="81"/>
            <rFont val="Tahoma"/>
            <family val="2"/>
          </rPr>
          <t xml:space="preserve"> en el campo </t>
        </r>
        <r>
          <rPr>
            <b/>
            <sz val="9"/>
            <color indexed="81"/>
            <rFont val="Tahoma"/>
            <family val="2"/>
          </rPr>
          <t>Curación Avanzada</t>
        </r>
        <r>
          <rPr>
            <sz val="9"/>
            <color indexed="81"/>
            <rFont val="Tahoma"/>
            <family val="2"/>
          </rPr>
          <t xml:space="preserve"> el valor </t>
        </r>
        <r>
          <rPr>
            <b/>
            <sz val="9"/>
            <color indexed="81"/>
            <rFont val="Tahoma"/>
            <family val="2"/>
          </rPr>
          <t xml:space="preserve">No. </t>
        </r>
        <r>
          <rPr>
            <sz val="9"/>
            <color indexed="81"/>
            <rFont val="Tahoma"/>
            <family val="2"/>
          </rPr>
          <t xml:space="preserve"> 
*Formularios Clínicos tambien se pueden agregar desde Modulo Box/Agregar documentos a una atencion*
</t>
        </r>
      </text>
    </comment>
    <comment ref="C65" authorId="1" shapeId="0" xr:uid="{FDDB9F7A-35DA-4562-B6CA-53B1DC9D69C9}">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Y en </t>
        </r>
        <r>
          <rPr>
            <b/>
            <sz val="9"/>
            <color indexed="81"/>
            <rFont val="Tahoma"/>
            <family val="2"/>
          </rPr>
          <t>Formulario Clinico</t>
        </r>
        <r>
          <rPr>
            <sz val="9"/>
            <color indexed="81"/>
            <rFont val="Tahoma"/>
            <family val="2"/>
          </rPr>
          <t xml:space="preserve"> </t>
        </r>
        <r>
          <rPr>
            <b/>
            <sz val="9"/>
            <color indexed="81"/>
            <rFont val="Tahoma"/>
            <family val="2"/>
          </rPr>
          <t>"Valoración de Úlceras del Pie Diabético"</t>
        </r>
        <r>
          <rPr>
            <sz val="9"/>
            <color indexed="81"/>
            <rFont val="Tahoma"/>
            <family val="2"/>
          </rPr>
          <t xml:space="preserve"> o </t>
        </r>
        <r>
          <rPr>
            <b/>
            <sz val="9"/>
            <color indexed="81"/>
            <rFont val="Tahoma"/>
            <family val="2"/>
          </rPr>
          <t>"Pauta de Valorización de la Herida"</t>
        </r>
        <r>
          <rPr>
            <sz val="9"/>
            <color indexed="81"/>
            <rFont val="Tahoma"/>
            <family val="2"/>
          </rPr>
          <t xml:space="preserve"> en el campo </t>
        </r>
        <r>
          <rPr>
            <b/>
            <sz val="9"/>
            <color indexed="81"/>
            <rFont val="Tahoma"/>
            <family val="2"/>
          </rPr>
          <t>Curación Avanzada</t>
        </r>
        <r>
          <rPr>
            <sz val="9"/>
            <color indexed="81"/>
            <rFont val="Tahoma"/>
            <family val="2"/>
          </rPr>
          <t xml:space="preserve"> el valor</t>
        </r>
        <r>
          <rPr>
            <b/>
            <sz val="9"/>
            <color indexed="81"/>
            <rFont val="Tahoma"/>
            <family val="2"/>
          </rPr>
          <t xml:space="preserve"> SI.</t>
        </r>
        <r>
          <rPr>
            <sz val="9"/>
            <color indexed="81"/>
            <rFont val="Tahoma"/>
            <family val="2"/>
          </rPr>
          <t xml:space="preserve">  
*Formularios Clínicos tambien se pueden agregar desde Modulo Box/Agregar documentos a una atencion*</t>
        </r>
      </text>
    </comment>
    <comment ref="C66" authorId="2" shapeId="0" xr:uid="{11FFD7AB-2EDF-4A11-8279-8481035B8A09}">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Y en Formulario Clinico </t>
        </r>
        <r>
          <rPr>
            <b/>
            <sz val="9"/>
            <color indexed="81"/>
            <rFont val="Tahoma"/>
            <family val="2"/>
          </rPr>
          <t>"Valoración de Úlceras del Pie Diabético"</t>
        </r>
        <r>
          <rPr>
            <sz val="9"/>
            <color indexed="81"/>
            <rFont val="Tahoma"/>
            <family val="2"/>
          </rPr>
          <t xml:space="preserve"> o </t>
        </r>
        <r>
          <rPr>
            <b/>
            <sz val="9"/>
            <color indexed="81"/>
            <rFont val="Tahoma"/>
            <family val="2"/>
          </rPr>
          <t xml:space="preserve">"Pauta de Valorización de la Herida" </t>
        </r>
        <r>
          <rPr>
            <sz val="9"/>
            <color indexed="81"/>
            <rFont val="Tahoma"/>
            <family val="2"/>
          </rPr>
          <t xml:space="preserve">en el campo </t>
        </r>
        <r>
          <rPr>
            <b/>
            <sz val="9"/>
            <color indexed="81"/>
            <rFont val="Tahoma"/>
            <family val="2"/>
          </rPr>
          <t>"Con Ayuda Técnica de Descarga"</t>
        </r>
        <r>
          <rPr>
            <sz val="9"/>
            <color indexed="81"/>
            <rFont val="Tahoma"/>
            <family val="2"/>
          </rPr>
          <t xml:space="preserve"> contenga el valor </t>
        </r>
        <r>
          <rPr>
            <b/>
            <sz val="9"/>
            <color indexed="81"/>
            <rFont val="Tahoma"/>
            <family val="2"/>
          </rPr>
          <t xml:space="preserve">Si.  </t>
        </r>
        <r>
          <rPr>
            <sz val="9"/>
            <color indexed="81"/>
            <rFont val="Tahoma"/>
            <family val="2"/>
          </rPr>
          <t xml:space="preserve">
*Formularios Clínicos tambien se pueden agregar desde Modulo Box/Agregar documentos a una atencion*</t>
        </r>
      </text>
    </comment>
    <comment ref="C67" authorId="1" shapeId="0" xr:uid="{D1187C45-CD5A-4755-96F4-7F205F07F048}">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Y en </t>
        </r>
        <r>
          <rPr>
            <b/>
            <sz val="9"/>
            <color indexed="81"/>
            <rFont val="Tahoma"/>
            <family val="2"/>
          </rPr>
          <t>Formulario Clinico</t>
        </r>
        <r>
          <rPr>
            <sz val="9"/>
            <color indexed="81"/>
            <rFont val="Tahoma"/>
            <family val="2"/>
          </rPr>
          <t xml:space="preserve">  </t>
        </r>
        <r>
          <rPr>
            <b/>
            <sz val="9"/>
            <color indexed="81"/>
            <rFont val="Tahoma"/>
            <family val="2"/>
          </rPr>
          <t>"Pauta de Valorización de la Herida"</t>
        </r>
        <r>
          <rPr>
            <sz val="9"/>
            <color indexed="81"/>
            <rFont val="Tahoma"/>
            <family val="2"/>
          </rPr>
          <t xml:space="preserve"> en el campo </t>
        </r>
        <r>
          <rPr>
            <b/>
            <sz val="9"/>
            <color indexed="81"/>
            <rFont val="Tahoma"/>
            <family val="2"/>
          </rPr>
          <t xml:space="preserve">Curación Avanzada en Ulcera Venosa </t>
        </r>
        <r>
          <rPr>
            <sz val="9"/>
            <color indexed="81"/>
            <rFont val="Tahoma"/>
            <family val="2"/>
          </rPr>
          <t>contenga el valor</t>
        </r>
        <r>
          <rPr>
            <b/>
            <sz val="9"/>
            <color indexed="81"/>
            <rFont val="Tahoma"/>
            <family val="2"/>
          </rPr>
          <t xml:space="preserve"> SI.</t>
        </r>
        <r>
          <rPr>
            <sz val="9"/>
            <color indexed="81"/>
            <rFont val="Tahoma"/>
            <family val="2"/>
          </rPr>
          <t xml:space="preserve">  
*Formularios Clínicos tambien se pueden agregar desde Modulo Box/Agregar documentos a una atencion*</t>
        </r>
      </text>
    </comment>
    <comment ref="C68" authorId="1" shapeId="0" xr:uid="{CAC27468-0397-4F2F-BB0C-64D404A96A9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Además, en sección </t>
        </r>
        <r>
          <rPr>
            <b/>
            <sz val="9"/>
            <color indexed="81"/>
            <rFont val="Tahoma"/>
            <family val="2"/>
          </rPr>
          <t>4.- COMPLICACIONES</t>
        </r>
        <r>
          <rPr>
            <sz val="9"/>
            <color indexed="81"/>
            <rFont val="Tahoma"/>
            <family val="2"/>
          </rPr>
          <t xml:space="preserve"> en el campo </t>
        </r>
        <r>
          <rPr>
            <b/>
            <sz val="9"/>
            <color indexed="81"/>
            <rFont val="Tahoma"/>
            <family val="2"/>
          </rPr>
          <t>"¿Amputacion debida a DM?"</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69" authorId="1" shapeId="0" xr:uid="{2C00E466-B338-45C3-B1DE-F15442B82201}">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t>
        </r>
        <r>
          <rPr>
            <b/>
            <sz val="9"/>
            <color indexed="81"/>
            <rFont val="Tahoma"/>
            <family val="2"/>
          </rPr>
          <t xml:space="preserve">
</t>
        </r>
        <r>
          <rPr>
            <sz val="9"/>
            <color indexed="81"/>
            <rFont val="Tahoma"/>
            <family val="2"/>
          </rPr>
          <t>Y</t>
        </r>
        <r>
          <rPr>
            <b/>
            <sz val="9"/>
            <color indexed="81"/>
            <rFont val="Tahoma"/>
            <family val="2"/>
          </rPr>
          <t xml:space="preserve"> 
-  </t>
        </r>
        <r>
          <rPr>
            <sz val="9"/>
            <color indexed="81"/>
            <rFont val="Tahoma"/>
            <family val="2"/>
          </rPr>
          <t>En Sección</t>
        </r>
        <r>
          <rPr>
            <b/>
            <sz val="9"/>
            <color indexed="81"/>
            <rFont val="Tahoma"/>
            <family val="2"/>
          </rPr>
          <t xml:space="preserve"> 3.- PATOLOGÍAS / ANTECEDENTES MÓRBIDOS  </t>
        </r>
        <r>
          <rPr>
            <sz val="9"/>
            <color indexed="81"/>
            <rFont val="Tahoma"/>
            <family val="2"/>
          </rPr>
          <t>en el Campo</t>
        </r>
        <r>
          <rPr>
            <b/>
            <sz val="9"/>
            <color indexed="81"/>
            <rFont val="Tahoma"/>
            <family val="2"/>
          </rPr>
          <t xml:space="preserve"> Tiene Hipertensión Arterial, l</t>
        </r>
        <r>
          <rPr>
            <sz val="9"/>
            <color indexed="81"/>
            <rFont val="Tahoma"/>
            <family val="2"/>
          </rPr>
          <t>a opción</t>
        </r>
        <r>
          <rPr>
            <b/>
            <sz val="9"/>
            <color indexed="81"/>
            <rFont val="Tahoma"/>
            <family val="2"/>
          </rPr>
          <t xml:space="preserve"> SI   </t>
        </r>
        <r>
          <rPr>
            <sz val="9"/>
            <color indexed="81"/>
            <rFont val="Tahoma"/>
            <family val="2"/>
          </rPr>
          <t xml:space="preserve">y en campo Estado el valor </t>
        </r>
        <r>
          <rPr>
            <b/>
            <sz val="9"/>
            <color indexed="81"/>
            <rFont val="Tahoma"/>
            <family val="2"/>
          </rPr>
          <t xml:space="preserve">Ingreso o Seguimiento
</t>
        </r>
        <r>
          <rPr>
            <sz val="9"/>
            <color indexed="81"/>
            <rFont val="Tahoma"/>
            <family val="2"/>
          </rPr>
          <t xml:space="preserve">
(el registro haya sido realizado hasta un plazo maximo de 1 año hacia atrás desde la fecha de corte)
YAdemás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70" authorId="2" shapeId="0" xr:uid="{34B42049-EA82-4FFC-8A4B-F410FD942A16}">
      <text>
        <r>
          <rPr>
            <sz val="9"/>
            <color indexed="81"/>
            <rFont val="Tahoma"/>
            <family val="2"/>
          </rPr>
          <t xml:space="preserve">Este dato aparecerá  luego de que en la atención registrada en Módulo de </t>
        </r>
        <r>
          <rPr>
            <b/>
            <sz val="9"/>
            <color indexed="81"/>
            <rFont val="Tahoma"/>
            <family val="2"/>
          </rPr>
          <t>Box/Pacientes citados ó Módulo Box/Agregar documento a una atención</t>
        </r>
        <r>
          <rPr>
            <sz val="9"/>
            <color indexed="81"/>
            <rFont val="Tahoma"/>
            <family val="2"/>
          </rPr>
          <t xml:space="preserve">; se registre el Formulario Clínico: </t>
        </r>
        <r>
          <rPr>
            <b/>
            <sz val="9"/>
            <color indexed="81"/>
            <rFont val="Tahoma"/>
            <family val="2"/>
          </rPr>
          <t>"SALUD CARDIOVASCULAR INTEGRAL"</t>
        </r>
        <r>
          <rPr>
            <sz val="9"/>
            <color indexed="81"/>
            <rFont val="Tahoma"/>
            <family val="2"/>
          </rPr>
          <t xml:space="preserve">; en el campo:
-  En Sección 3.- PATOLOGÍAS / ANTECEDENTES MÓRBIDOS  en el Campo Tiene Diabetes Mellitus 2, la opción SI y en campo Estado el valor Ingreso o Seguimiento
(el registro haya sido realizado hasta un plazo maximo de 1 año hacia atrás desde la fecha de corte)
y además  En la </t>
        </r>
        <r>
          <rPr>
            <b/>
            <sz val="9"/>
            <color indexed="81"/>
            <rFont val="Tahoma"/>
            <family val="2"/>
          </rPr>
          <t>sección 8.- DERC - Detección y Prevención de la Progresión de la Enfermedad Renal Crónica,</t>
        </r>
        <r>
          <rPr>
            <sz val="9"/>
            <color indexed="81"/>
            <rFont val="Tahoma"/>
            <family val="2"/>
          </rPr>
          <t xml:space="preserve"> en el  campo Estado ERC el valor Ingreso o Seguimiento y  En campo "</t>
        </r>
        <r>
          <rPr>
            <b/>
            <sz val="9"/>
            <color indexed="81"/>
            <rFont val="Tahoma"/>
            <family val="2"/>
          </rPr>
          <t>Enfermedad Renal Crónica</t>
        </r>
        <r>
          <rPr>
            <sz val="9"/>
            <color indexed="81"/>
            <rFont val="Tahoma"/>
            <family val="2"/>
          </rPr>
          <t xml:space="preserve">" tenga uno de los siguientes valores;
</t>
        </r>
        <r>
          <rPr>
            <b/>
            <sz val="9"/>
            <color indexed="81"/>
            <rFont val="Tahoma"/>
            <family val="2"/>
          </rPr>
          <t>Referencia Manual Deis.</t>
        </r>
        <r>
          <rPr>
            <sz val="9"/>
            <color indexed="81"/>
            <rFont val="Tahoma"/>
            <family val="2"/>
          </rPr>
          <t xml:space="preserve">
Corresponde a las personas que se encuentran bajo control en el Programa a la fecha de corte, con diagnóstico de </t>
        </r>
        <r>
          <rPr>
            <b/>
            <sz val="9"/>
            <color indexed="81"/>
            <rFont val="Tahoma"/>
            <family val="2"/>
          </rPr>
          <t>Diabetes Mellitus tipo 2</t>
        </r>
        <r>
          <rPr>
            <sz val="9"/>
            <color indexed="81"/>
            <rFont val="Tahoma"/>
            <family val="2"/>
          </rPr>
          <t xml:space="preserve">, y tienen asociado el diagnóstico de Enfermedad Renal Crónica (G1 a G5).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71" authorId="1" shapeId="0" xr:uid="{4F36DC0D-AFF4-4F83-B92E-3D59D34A1DE1}">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
(el registro haya sido realizado hasta un plazo maximo de 1 año hacia atrás desde la fecha de corte)
Además, en el campo</t>
        </r>
        <r>
          <rPr>
            <b/>
            <sz val="9"/>
            <color indexed="81"/>
            <rFont val="Tahoma"/>
            <family val="2"/>
          </rPr>
          <t xml:space="preserve"> "¿Ha presentado ACV?"</t>
        </r>
        <r>
          <rPr>
            <sz val="9"/>
            <color indexed="81"/>
            <rFont val="Tahoma"/>
            <family val="2"/>
          </rPr>
          <t xml:space="preserve">  tenga el valor</t>
        </r>
        <r>
          <rPr>
            <b/>
            <sz val="9"/>
            <color indexed="81"/>
            <rFont val="Tahoma"/>
            <family val="2"/>
          </rPr>
          <t xml:space="preserve"> "SI"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72" authorId="1" shapeId="0" xr:uid="{FF429DDF-2BEF-4989-93E7-0B2F0F184103}">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t>
        </r>
        <r>
          <rPr>
            <b/>
            <sz val="9"/>
            <color indexed="81"/>
            <rFont val="Tahoma"/>
            <family val="2"/>
          </rPr>
          <t xml:space="preserve"> Tiene Diabetes Mellitus 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sección 4.- COMPLICACIONES  en el campo</t>
        </r>
        <r>
          <rPr>
            <b/>
            <sz val="9"/>
            <color indexed="81"/>
            <rFont val="Tahoma"/>
            <family val="2"/>
          </rPr>
          <t xml:space="preserve"> "¿Ha presentado IAM?"</t>
        </r>
        <r>
          <rPr>
            <sz val="9"/>
            <color indexed="81"/>
            <rFont val="Tahoma"/>
            <family val="2"/>
          </rPr>
          <t xml:space="preserve">  tenga el valor </t>
        </r>
        <r>
          <rPr>
            <b/>
            <sz val="9"/>
            <color indexed="81"/>
            <rFont val="Tahoma"/>
            <family val="2"/>
          </rPr>
          <t>"SI"</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73" authorId="1" shapeId="0" xr:uid="{C16D3C31-0D5A-45CB-98A0-0078B60C807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Diabetes Mellitus 2, la opción SI y en campo Estado el valor Ingreso o Seguimiento</t>
        </r>
        <r>
          <rPr>
            <b/>
            <sz val="9"/>
            <color indexed="81"/>
            <rFont val="Tahoma"/>
            <family val="2"/>
          </rPr>
          <t xml:space="preserve">
</t>
        </r>
        <r>
          <rPr>
            <sz val="9"/>
            <color indexed="81"/>
            <rFont val="Tahoma"/>
            <family val="2"/>
          </rPr>
          <t xml:space="preserve">Además Selecionar, en el campo </t>
        </r>
        <r>
          <rPr>
            <b/>
            <sz val="9"/>
            <color indexed="81"/>
            <rFont val="Tahoma"/>
            <family val="2"/>
          </rPr>
          <t>Retinopatía Diabetica</t>
        </r>
        <r>
          <rPr>
            <sz val="9"/>
            <color indexed="81"/>
            <rFont val="Tahoma"/>
            <family val="2"/>
          </rPr>
          <t xml:space="preserve"> el Valor </t>
        </r>
        <r>
          <rPr>
            <b/>
            <sz val="9"/>
            <color indexed="81"/>
            <rFont val="Tahoma"/>
            <family val="2"/>
          </rPr>
          <t>Sí</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75" authorId="1" shapeId="0" xr:uid="{B25458A9-5580-47DB-BFFF-1D5971DF4351}">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t>
        </r>
        <r>
          <rPr>
            <b/>
            <sz val="9"/>
            <color indexed="81"/>
            <rFont val="Tahoma"/>
            <family val="2"/>
          </rPr>
          <t xml:space="preserve">3.- PATOLOGÍAS / ANTECEDENTES MÓRBIDOS </t>
        </r>
        <r>
          <rPr>
            <sz val="9"/>
            <color indexed="81"/>
            <rFont val="Tahoma"/>
            <family val="2"/>
          </rPr>
          <t xml:space="preserve"> en el Campo Tiene </t>
        </r>
        <r>
          <rPr>
            <b/>
            <sz val="9"/>
            <color indexed="81"/>
            <rFont val="Tahoma"/>
            <family val="2"/>
          </rPr>
          <t>Hipertensión Arterial</t>
        </r>
        <r>
          <rPr>
            <sz val="9"/>
            <color indexed="81"/>
            <rFont val="Tahoma"/>
            <family val="2"/>
          </rPr>
          <t xml:space="preserve">, la opción </t>
        </r>
        <r>
          <rPr>
            <b/>
            <sz val="9"/>
            <color indexed="81"/>
            <rFont val="Tahoma"/>
            <family val="2"/>
          </rPr>
          <t>SI</t>
        </r>
        <r>
          <rPr>
            <sz val="9"/>
            <color indexed="81"/>
            <rFont val="Tahoma"/>
            <family val="2"/>
          </rPr>
          <t xml:space="preserve">   y en campo Estado el valor </t>
        </r>
        <r>
          <rPr>
            <b/>
            <sz val="9"/>
            <color indexed="81"/>
            <rFont val="Tahoma"/>
            <family val="2"/>
          </rPr>
          <t xml:space="preserve">Ingreso o Seguimiento
</t>
        </r>
        <r>
          <rPr>
            <sz val="9"/>
            <color indexed="81"/>
            <rFont val="Tahoma"/>
            <family val="2"/>
          </rPr>
          <t xml:space="preserve">
Además, en sección </t>
        </r>
        <r>
          <rPr>
            <b/>
            <sz val="9"/>
            <color indexed="81"/>
            <rFont val="Tahoma"/>
            <family val="2"/>
          </rPr>
          <t xml:space="preserve">6.- EXÁMENES DE LABORATORIO </t>
        </r>
        <r>
          <rPr>
            <sz val="9"/>
            <color indexed="81"/>
            <rFont val="Tahoma"/>
            <family val="2"/>
          </rPr>
          <t xml:space="preserve">en el campo </t>
        </r>
        <r>
          <rPr>
            <b/>
            <sz val="9"/>
            <color indexed="81"/>
            <rFont val="Tahoma"/>
            <family val="2"/>
          </rPr>
          <t>RAC Relación Albumina/Creatinina</t>
        </r>
        <r>
          <rPr>
            <sz val="9"/>
            <color indexed="81"/>
            <rFont val="Tahoma"/>
            <family val="2"/>
          </rPr>
          <t xml:space="preserve"> tenga una valor ingresado en el último año 
y Además en campos </t>
        </r>
        <r>
          <rPr>
            <b/>
            <sz val="9"/>
            <color indexed="81"/>
            <rFont val="Tahoma"/>
            <family val="2"/>
          </rPr>
          <t xml:space="preserve">"Fecha Próximo Control" </t>
        </r>
        <r>
          <rPr>
            <sz val="9"/>
            <color indexed="81"/>
            <rFont val="Tahoma"/>
            <family val="2"/>
          </rPr>
          <t xml:space="preserve"> tenga registrada una fecha aproximada de su proximo control al programa
</t>
        </r>
        <r>
          <rPr>
            <u/>
            <sz val="9"/>
            <color indexed="81"/>
            <rFont val="Tahoma"/>
            <family val="2"/>
          </rPr>
          <t xml:space="preserve">
*Formularios Clínicos tambien se pueden agregar desde Modulo Box/Agregar documentos a una atencion*</t>
        </r>
      </text>
    </comment>
    <comment ref="C76" authorId="5" shapeId="0" xr:uid="{E661989A-5858-463A-8EA3-5A04AB367E14}">
      <text>
        <r>
          <rPr>
            <sz val="9"/>
            <color indexed="81"/>
            <rFont val="Tahoma"/>
            <family val="2"/>
          </rPr>
          <t>Este dato aparecerá  luego de que en la atención registrada en Módulo de Box/Pacientes citados ó Módulo Box/Agregar documento a una atención; se registre el Formulario Clínico: "</t>
        </r>
        <r>
          <rPr>
            <b/>
            <sz val="9"/>
            <color indexed="81"/>
            <rFont val="Tahoma"/>
            <family val="2"/>
          </rPr>
          <t>SALUD CARDIOVASCULAR INTEGRAL</t>
        </r>
        <r>
          <rPr>
            <sz val="9"/>
            <color indexed="81"/>
            <rFont val="Tahoma"/>
            <family val="2"/>
          </rPr>
          <t xml:space="preserve">"; en el campo:
-  En Sección 3.- PATOLOGÍAS / ANTECEDENTES MÓRBIDOS  en el Campo Tiene Hipertensión Arterial, la opción SI   y en campo Estado el valor Ingreso o Seguimiento
(el registro haya sido realizado hasta un plazo maximo de 1 año hacia atrás desde la fecha de corte)
Y
Registre   </t>
        </r>
        <r>
          <rPr>
            <b/>
            <sz val="9"/>
            <color indexed="81"/>
            <rFont val="Tahoma"/>
            <family val="2"/>
          </rPr>
          <t>"VFG MDRD-4" o "VFG MDRD - 4 variables IDMS</t>
        </r>
        <r>
          <rPr>
            <sz val="9"/>
            <color indexed="81"/>
            <rFont val="Tahoma"/>
            <family val="2"/>
          </rPr>
          <t xml:space="preserve"> </t>
        </r>
        <r>
          <rPr>
            <b/>
            <sz val="9"/>
            <color indexed="81"/>
            <rFont val="Tahoma"/>
            <family val="2"/>
          </rPr>
          <t>con calibracion"</t>
        </r>
        <r>
          <rPr>
            <sz val="9"/>
            <color indexed="81"/>
            <rFont val="Tahoma"/>
            <family val="2"/>
          </rPr>
          <t xml:space="preserve"> .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77" authorId="2" shapeId="0" xr:uid="{7745CF46-92BC-4F5C-ACE6-AC7223F9A7CD}">
      <text>
        <r>
          <rPr>
            <sz val="9"/>
            <color indexed="81"/>
            <rFont val="Tahoma"/>
            <family val="2"/>
          </rPr>
          <t>Este dato aparecerá  luego de que en la atención registrada en Módulo de Box/Pacientes citados ó Módulo Box/Agregar documento a una atención; se registre el Formulario Clínico: "</t>
        </r>
        <r>
          <rPr>
            <b/>
            <sz val="9"/>
            <color indexed="81"/>
            <rFont val="Tahoma"/>
            <family val="2"/>
          </rPr>
          <t>SALUD CARDIOVASCULAR INTEGRAL</t>
        </r>
        <r>
          <rPr>
            <sz val="9"/>
            <color indexed="81"/>
            <rFont val="Tahoma"/>
            <family val="2"/>
          </rPr>
          <t xml:space="preserve">"; en el campo:
-  En Sección 3.- PATOLOGÍAS / ANTECEDENTES MÓRBIDOS  en el Campo Tiene Hipertensión Arterial, la opción SI   y en campo Estado el valor Ingreso o Seguimiento
(el registro haya sido realizado hasta un plazo maximo de 1 año hacia atrás desde la fecha de corte)
Y
Registrar en sección </t>
        </r>
        <r>
          <rPr>
            <b/>
            <sz val="9"/>
            <color indexed="81"/>
            <rFont val="Tahoma"/>
            <family val="2"/>
          </rPr>
          <t xml:space="preserve">6.- EXÁMENES DE LABORATORIO </t>
        </r>
        <r>
          <rPr>
            <sz val="9"/>
            <color indexed="81"/>
            <rFont val="Tahoma"/>
            <family val="2"/>
          </rPr>
          <t>valor de resultado el ultimo año en "</t>
        </r>
        <r>
          <rPr>
            <b/>
            <sz val="9"/>
            <color indexed="81"/>
            <rFont val="Tahoma"/>
            <family val="2"/>
          </rPr>
          <t xml:space="preserve">VFG MDRD-4" o "VFG MDRD - 4 variables IDMS con calibracion" 
</t>
        </r>
        <r>
          <rPr>
            <sz val="9"/>
            <color indexed="81"/>
            <rFont val="Tahoma"/>
            <family val="2"/>
          </rPr>
          <t xml:space="preserve">
y
Además, en sección </t>
        </r>
        <r>
          <rPr>
            <b/>
            <sz val="9"/>
            <color indexed="81"/>
            <rFont val="Tahoma"/>
            <family val="2"/>
          </rPr>
          <t xml:space="preserve"> 6.- EXÁMENES DE LABORATORIO</t>
        </r>
        <r>
          <rPr>
            <sz val="9"/>
            <color indexed="81"/>
            <rFont val="Tahoma"/>
            <family val="2"/>
          </rPr>
          <t xml:space="preserve"> en campo </t>
        </r>
        <r>
          <rPr>
            <b/>
            <sz val="9"/>
            <color indexed="81"/>
            <rFont val="Tahoma"/>
            <family val="2"/>
          </rPr>
          <t xml:space="preserve">RAC Relación Albumina/Creatinina </t>
        </r>
        <r>
          <rPr>
            <sz val="9"/>
            <color indexed="81"/>
            <rFont val="Tahoma"/>
            <family val="2"/>
          </rPr>
          <t xml:space="preserve">tenga un valor ingresado en el último año.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78" authorId="1" shapeId="0" xr:uid="{2E70E9D6-72C9-4D48-AAC2-971F68ADE9C2}">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Hipertensión Arterial, la opción SI   y en campo Estado el valor Ingreso o Seguimiento
(el registro haya sido realizado hasta un plazo maximo de 1 año hacia atrás desde la fecha de corte)
Además, en campo </t>
        </r>
        <r>
          <rPr>
            <b/>
            <sz val="9"/>
            <color indexed="81"/>
            <rFont val="Tahoma"/>
            <family val="2"/>
          </rPr>
          <t xml:space="preserve">Presion Arterial (mmHg) </t>
        </r>
        <r>
          <rPr>
            <sz val="9"/>
            <color indexed="81"/>
            <rFont val="Tahoma"/>
            <family val="2"/>
          </rPr>
          <t>tenga un valor</t>
        </r>
        <r>
          <rPr>
            <b/>
            <sz val="9"/>
            <color indexed="81"/>
            <rFont val="Tahoma"/>
            <family val="2"/>
          </rPr>
          <t xml:space="preserve"> igual o superior a 160/100 mmHg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80" authorId="2" shapeId="0" xr:uid="{AA725688-C1E3-418F-8570-2EADA9F4F510}">
      <text>
        <r>
          <rPr>
            <b/>
            <sz val="9"/>
            <color indexed="81"/>
            <rFont val="Tahoma"/>
            <family val="2"/>
          </rPr>
          <t xml:space="preserve">Este dato aparecerá  luego de que en la atención Registrada en el Módulo Box - Pacientes Citados  o en Agregar documentos </t>
        </r>
        <r>
          <rPr>
            <sz val="9"/>
            <color indexed="81"/>
            <rFont val="Tahoma"/>
            <family val="2"/>
          </rPr>
          <t>a una atención en el Formulario</t>
        </r>
        <r>
          <rPr>
            <b/>
            <sz val="9"/>
            <color indexed="81"/>
            <rFont val="Tahoma"/>
            <family val="2"/>
          </rPr>
          <t xml:space="preserve"> SALUD CARDIOVASCULAR INTEGRAL  </t>
        </r>
        <r>
          <rPr>
            <sz val="9"/>
            <color indexed="81"/>
            <rFont val="Tahoma"/>
            <family val="2"/>
          </rPr>
          <t>tengan registrado en el campo</t>
        </r>
        <r>
          <rPr>
            <b/>
            <sz val="9"/>
            <color indexed="81"/>
            <rFont val="Tahoma"/>
            <family val="2"/>
          </rPr>
          <t xml:space="preserve">:
- </t>
        </r>
        <r>
          <rPr>
            <sz val="9"/>
            <color indexed="81"/>
            <rFont val="Tahoma"/>
            <family val="2"/>
          </rPr>
          <t xml:space="preserve"> En Sección </t>
        </r>
        <r>
          <rPr>
            <b/>
            <sz val="9"/>
            <color indexed="81"/>
            <rFont val="Tahoma"/>
            <family val="2"/>
          </rPr>
          <t xml:space="preserve">3.- PATOLOGÍAS / ANTECEDENTES MÓRBIDOS  </t>
        </r>
        <r>
          <rPr>
            <sz val="9"/>
            <color indexed="81"/>
            <rFont val="Tahoma"/>
            <family val="2"/>
          </rPr>
          <t>en el Campo</t>
        </r>
        <r>
          <rPr>
            <b/>
            <sz val="9"/>
            <color indexed="81"/>
            <rFont val="Tahoma"/>
            <family val="2"/>
          </rPr>
          <t xml:space="preserve"> Tiene Hipertensión Arterial, la </t>
        </r>
        <r>
          <rPr>
            <sz val="9"/>
            <color indexed="81"/>
            <rFont val="Tahoma"/>
            <family val="2"/>
          </rPr>
          <t>opción</t>
        </r>
        <r>
          <rPr>
            <b/>
            <sz val="9"/>
            <color indexed="81"/>
            <rFont val="Tahoma"/>
            <family val="2"/>
          </rPr>
          <t xml:space="preserve"> SI   y </t>
        </r>
        <r>
          <rPr>
            <sz val="9"/>
            <color indexed="81"/>
            <rFont val="Tahoma"/>
            <family val="2"/>
          </rPr>
          <t xml:space="preserve">en campo Estado </t>
        </r>
        <r>
          <rPr>
            <b/>
            <sz val="9"/>
            <color indexed="81"/>
            <rFont val="Tahoma"/>
            <family val="2"/>
          </rPr>
          <t xml:space="preserve">el valor Ingreso o Seguimiento
</t>
        </r>
        <r>
          <rPr>
            <sz val="9"/>
            <color indexed="81"/>
            <rFont val="Tahoma"/>
            <family val="2"/>
          </rPr>
          <t xml:space="preserve">Además en sección 5.- Protocolo HEARTS  regitrar en el campo </t>
        </r>
        <r>
          <rPr>
            <b/>
            <sz val="9"/>
            <color indexed="81"/>
            <rFont val="Tahoma"/>
            <family val="2"/>
          </rPr>
          <t xml:space="preserve">Protocolo Hearts, </t>
        </r>
        <r>
          <rPr>
            <sz val="9"/>
            <color indexed="81"/>
            <rFont val="Tahoma"/>
            <family val="2"/>
          </rPr>
          <t>la opción</t>
        </r>
        <r>
          <rPr>
            <b/>
            <sz val="9"/>
            <color indexed="81"/>
            <rFont val="Tahoma"/>
            <family val="2"/>
          </rPr>
          <t xml:space="preserve"> Si   </t>
        </r>
        <r>
          <rPr>
            <sz val="9"/>
            <color indexed="81"/>
            <rFont val="Tahoma"/>
            <family val="2"/>
          </rPr>
          <t xml:space="preserve">y en campo Estado el valor </t>
        </r>
        <r>
          <rPr>
            <b/>
            <sz val="9"/>
            <color indexed="81"/>
            <rFont val="Tahoma"/>
            <family val="2"/>
          </rPr>
          <t>Ingreso o Seguimiento</t>
        </r>
      </text>
    </comment>
    <comment ref="C82" authorId="1" shapeId="0" xr:uid="{DD74310D-3D21-443E-AB7C-329B7DD4B355}">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Hipertensión Arterial, la opción SI   y en campo Estado el valor Ingreso o Seguimiento
y/ó
-  En Sección 3.- PATOLOGÍAS / ANTECEDENTES MÓRBIDOS  en el Campo Tiene Diabetes Mellitus 2, la opción SI y en campo Estado el valor Ingreso o Seguimiento
y/ó
-  En Sección 3.- PATOLOGÍAS / ANTECEDENTES MÓRBIDOS  en el Campo Tiene Dislipidemia, la opción SI y en campo Estado el valor Ingreso o Seguimiento
 - En Sección 3.- PATOLOGÍAS / ANTECEDENTES MÓRBIDOS  en el Campo Tabaquismo Actual , la opción SI y en campo Estado el valor Ingreso o Seguimiento.(Se contabilizará solo en personas mayores o igual a 55 años)
y/ó
 -   En Sección 3.- PATOLOGÍAS / ANTECEDENTES MÓRBIDOS  en el Campo ¿Tiene Antecedentes Enf. Cardiovascular Aterosclerótica? valor SI, y en el Campo Estado valor Ingreso o Seguimiento
y/ó
Y Además en Sección 4.- COMPLICACIONES en el campo ¿Ha presentado IAM? el valor SI o en campo ¿Ha presentado ACV? el valor SI.
- En la sección 8.- DERC - Detección y Prevención de la Progresión de la Enfermedad Renal Crónica, una de las opcione en Campo Enfermedad Renal Crónica y además en campo Estado ERC el valor Ingreso o seguimiento
Además los pacientes debe tener registrado el Riesgo Cardiovascular o Riesgo Cardiovascular por Framingham el valor "Bajo", "Moderado" o "Alto"
Además, en campo</t>
        </r>
        <r>
          <rPr>
            <b/>
            <sz val="9"/>
            <color indexed="81"/>
            <rFont val="Tahoma"/>
            <family val="2"/>
          </rPr>
          <t xml:space="preserve"> I.M.C</t>
        </r>
        <r>
          <rPr>
            <sz val="9"/>
            <color indexed="81"/>
            <rFont val="Tahoma"/>
            <family val="2"/>
          </rPr>
          <t xml:space="preserve">. tenga un valor </t>
        </r>
        <r>
          <rPr>
            <b/>
            <sz val="9"/>
            <color indexed="81"/>
            <rFont val="Tahoma"/>
            <family val="2"/>
          </rPr>
          <t xml:space="preserve">entre 25 y 29.9 
</t>
        </r>
        <r>
          <rPr>
            <sz val="9"/>
            <color indexed="81"/>
            <rFont val="Tahoma"/>
            <family val="2"/>
          </rPr>
          <t>Además,</t>
        </r>
        <r>
          <rPr>
            <b/>
            <sz val="9"/>
            <color indexed="81"/>
            <rFont val="Tahoma"/>
            <family val="2"/>
          </rPr>
          <t xml:space="preserve"> la edad del paciente </t>
        </r>
        <r>
          <rPr>
            <sz val="9"/>
            <color indexed="81"/>
            <rFont val="Tahoma"/>
            <family val="2"/>
          </rPr>
          <t>en el momento del formulario</t>
        </r>
        <r>
          <rPr>
            <b/>
            <sz val="9"/>
            <color indexed="81"/>
            <rFont val="Tahoma"/>
            <family val="2"/>
          </rPr>
          <t xml:space="preserve"> entre 15 a 64 años 11 meses 30 dias 23 horas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83" authorId="1" shapeId="0" xr:uid="{D7B6C132-77FC-4B6F-81BF-A4A1017DACB8}">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xml:space="preserve">; en el campo:
-  En Sección 3.- PATOLOGÍAS / ANTECEDENTES MÓRBIDOS  en el Campo Tiene Hipertensión Arterial, la opción SI   y en campo Estado el valor Ingreso o Seguimiento
y/ó
-  En Sección 3.- PATOLOGÍAS / ANTECEDENTES MÓRBIDOS  en el Campo Tiene Diabetes Mellitus 2, la opción SI y en campo Estado el valor Ingreso o Seguimiento
y/ó
-  En Sección 3.- PATOLOGÍAS / ANTECEDENTES MÓRBIDOS  en el Campo Tiene Dislipidemia, la opción SI y en campo Estado el valor Ingreso o Seguimiento
 - En Sección 3.- PATOLOGÍAS / ANTECEDENTES MÓRBIDOS  en el Campo Tabaquismo Actual , la opción SI y en campo Estado el valor Ingreso o Seguimiento.(Se contabilizará solo en personas mayores o igual a 55 años)
y/ó
 -   En Sección 3.- PATOLOGÍAS / ANTECEDENTES MÓRBIDOS  en el Campo ¿Tiene Antecedentes Enf. Cardiovascular Aterosclerótica? valor SI, y en el Campo Estado valor Ingreso o Seguimiento
y/ó
Y Además en Sección 4.- COMPLICACIONES en el campo ¿Ha presentado IAM? el valor SI o en campo ¿Ha presentado ACV? el valor SI.
- En la sección 8.- DERC - Detección y Prevención de la Progresión de la Enfermedad Renal Crónica, una de las opcione en Campo Enfermedad Renal Crónica y además en campo Estado ERC el valor Ingreso o seguimiento
Además los pacientes debe tener registrado el Riesgo Cardiovascular o Riesgo Cardiovascular por Framingham el valor "Bajo", "Moderado" o "Alto"
Además, en campo </t>
        </r>
        <r>
          <rPr>
            <b/>
            <sz val="9"/>
            <color indexed="81"/>
            <rFont val="Tahoma"/>
            <family val="2"/>
          </rPr>
          <t>I.M.C</t>
        </r>
        <r>
          <rPr>
            <sz val="9"/>
            <color indexed="81"/>
            <rFont val="Tahoma"/>
            <family val="2"/>
          </rPr>
          <t>. tenga un valor</t>
        </r>
        <r>
          <rPr>
            <b/>
            <sz val="9"/>
            <color indexed="81"/>
            <rFont val="Tahoma"/>
            <family val="2"/>
          </rPr>
          <t xml:space="preserve"> entre 28 y 31.9
</t>
        </r>
        <r>
          <rPr>
            <sz val="9"/>
            <color indexed="81"/>
            <rFont val="Tahoma"/>
            <family val="2"/>
          </rPr>
          <t>Además</t>
        </r>
        <r>
          <rPr>
            <b/>
            <sz val="9"/>
            <color indexed="81"/>
            <rFont val="Tahoma"/>
            <family val="2"/>
          </rPr>
          <t>, la edad del paciente</t>
        </r>
        <r>
          <rPr>
            <sz val="9"/>
            <color indexed="81"/>
            <rFont val="Tahoma"/>
            <family val="2"/>
          </rPr>
          <t xml:space="preserve"> en el momento del formulario</t>
        </r>
        <r>
          <rPr>
            <b/>
            <sz val="9"/>
            <color indexed="81"/>
            <rFont val="Tahoma"/>
            <family val="2"/>
          </rPr>
          <t xml:space="preserve"> mayores o igual  65 años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84" authorId="1" shapeId="0" xr:uid="{7949DDAE-D317-4DD5-A449-C11BA91005BD}">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en el campo:
-  En Sección 3.- PATOLOGÍAS / ANTECEDENTES MÓRBIDOS  en el Campo Tiene Hipertensión Arterial, la opción SI   y en campo Estado el valor Ingreso o Seguimiento
y/ó
-  En Sección 3.- PATOLOGÍAS / ANTECEDENTES MÓRBIDOS  en el Campo Tiene Diabetes Mellitus 2, la opción SI y en campo Estado el valor Ingreso o Seguimiento
y/ó
-  En Sección 3.- PATOLOGÍAS / ANTECEDENTES MÓRBIDOS  en el Campo Tiene Dislipidemia, la opción SI y en campo Estado el valor Ingreso o Seguimiento
 - En Sección 3.- PATOLOGÍAS / ANTECEDENTES MÓRBIDOS  en el Campo Tabaquismo Actual , la opción SI y en campo Estado el valor Ingreso o Seguimiento.(Se contabilizará solo en personas mayores o igual a 55 años)
y/ó
 -   En Sección 3.- PATOLOGÍAS / ANTECEDENTES MÓRBIDOS  en el Campo ¿Tiene Antecedentes Enf. Cardiovascular Aterosclerótica? valor SI, y en el Campo Estado valor Ingreso o Seguimiento
y/ó
Y Además en Sección 4.- COMPLICACIONES en el campo ¿Ha presentado IAM? el valor SI o en campo ¿Ha presentado ACV? el valor SI.
- En la sección 8.- DERC - Detección y Prevención de la Progresión de la Enfermedad Renal Crónica, una de las opcione en Campo Enfermedad Renal Crónica y además en campo Estado ERC el valor Ingreso o seguimiento
Además los pacientes debe tener registrado el Riesgo Cardiovascular o Riesgo Cardiovascular por Framingham el valor "Bajo", "Moderado" o "Alto"
Además en Sección </t>
        </r>
        <r>
          <rPr>
            <b/>
            <sz val="9"/>
            <color indexed="81"/>
            <rFont val="Tahoma"/>
            <family val="2"/>
          </rPr>
          <t>Complicaciones</t>
        </r>
        <r>
          <rPr>
            <sz val="9"/>
            <color indexed="81"/>
            <rFont val="Tahoma"/>
            <family val="2"/>
          </rPr>
          <t xml:space="preserve"> en el campo </t>
        </r>
        <r>
          <rPr>
            <b/>
            <sz val="9"/>
            <color indexed="81"/>
            <rFont val="Tahoma"/>
            <family val="2"/>
          </rPr>
          <t>¿Ha presentado IAM?</t>
        </r>
        <r>
          <rPr>
            <sz val="9"/>
            <color indexed="81"/>
            <rFont val="Tahoma"/>
            <family val="2"/>
          </rPr>
          <t xml:space="preserve"> el valor </t>
        </r>
        <r>
          <rPr>
            <b/>
            <sz val="9"/>
            <color indexed="81"/>
            <rFont val="Tahoma"/>
            <family val="2"/>
          </rPr>
          <t>SI</t>
        </r>
        <r>
          <rPr>
            <sz val="9"/>
            <color indexed="81"/>
            <rFont val="Tahoma"/>
            <family val="2"/>
          </rPr>
          <t xml:space="preserve"> o en campo </t>
        </r>
        <r>
          <rPr>
            <b/>
            <sz val="9"/>
            <color indexed="81"/>
            <rFont val="Tahoma"/>
            <family val="2"/>
          </rPr>
          <t>¿Ha presentado ACV?</t>
        </r>
        <r>
          <rPr>
            <sz val="9"/>
            <color indexed="81"/>
            <rFont val="Tahoma"/>
            <family val="2"/>
          </rPr>
          <t xml:space="preserve"> el valor</t>
        </r>
        <r>
          <rPr>
            <b/>
            <sz val="9"/>
            <color indexed="81"/>
            <rFont val="Tahoma"/>
            <family val="2"/>
          </rPr>
          <t xml:space="preserve"> SI</t>
        </r>
        <r>
          <rPr>
            <sz val="9"/>
            <color indexed="81"/>
            <rFont val="Tahoma"/>
            <family val="2"/>
          </rPr>
          <t xml:space="preserve">.
Además, en campo </t>
        </r>
        <r>
          <rPr>
            <b/>
            <sz val="9"/>
            <color indexed="81"/>
            <rFont val="Tahoma"/>
            <family val="2"/>
          </rPr>
          <t>I.M.C</t>
        </r>
        <r>
          <rPr>
            <sz val="9"/>
            <color indexed="81"/>
            <rFont val="Tahoma"/>
            <family val="2"/>
          </rPr>
          <t xml:space="preserve">. tenga un valor </t>
        </r>
        <r>
          <rPr>
            <b/>
            <sz val="9"/>
            <color indexed="81"/>
            <rFont val="Tahoma"/>
            <family val="2"/>
          </rPr>
          <t xml:space="preserve">Igual o Mayor a 30 
</t>
        </r>
        <r>
          <rPr>
            <sz val="9"/>
            <color indexed="81"/>
            <rFont val="Tahoma"/>
            <family val="2"/>
          </rPr>
          <t>Además,</t>
        </r>
        <r>
          <rPr>
            <b/>
            <sz val="9"/>
            <color indexed="81"/>
            <rFont val="Tahoma"/>
            <family val="2"/>
          </rPr>
          <t xml:space="preserve"> la edad del paciente</t>
        </r>
        <r>
          <rPr>
            <sz val="9"/>
            <color indexed="81"/>
            <rFont val="Tahoma"/>
            <family val="2"/>
          </rPr>
          <t xml:space="preserve"> en el momento del formulario</t>
        </r>
        <r>
          <rPr>
            <b/>
            <sz val="9"/>
            <color indexed="81"/>
            <rFont val="Tahoma"/>
            <family val="2"/>
          </rPr>
          <t xml:space="preserve"> entre 15 a 64 años 11 meses 30 dias 23 horas
</t>
        </r>
        <r>
          <rPr>
            <sz val="9"/>
            <color indexed="81"/>
            <rFont val="Tahoma"/>
            <family val="2"/>
          </rPr>
          <t xml:space="preserve"> y Además en campos "Fecha Próximo Control"  tenga registrada una fecha aproximada de su proximo control del programa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85" authorId="1" shapeId="0" xr:uid="{ABFB379E-996F-4347-8492-1480C2871A36}">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Sección 3.- PATOLOGÍAS / ANTECEDENTES MÓRBIDOS  en el Campo Tiene Hipertensión Arterial, la opción SI   y en campo Estado el valor Ingreso o Seguimiento
y/ó
-  En Sección 3.- PATOLOGÍAS / ANTECEDENTES MÓRBIDOS  en el Campo Tiene Diabetes Mellitus 2, la opción SI y en campo Estado el valor Ingreso o Seguimiento
y/ó
-  En Sección 3.- PATOLOGÍAS / ANTECEDENTES MÓRBIDOS  en el Campo Tiene Dislipidemia, la opción SI y en campo Estado el valor Ingreso o Seguimiento
 - En Sección 3.- PATOLOGÍAS / ANTECEDENTES MÓRBIDOS  en el Campo Tabaquismo Actual , la opción SI y en campo Estado el valor Ingreso o Seguimiento.(Se contabilizará solo en personas mayores o igual a 55 años)
y/ó
 -   En Sección 3.- PATOLOGÍAS / ANTECEDENTES MÓRBIDOS  en el Campo ¿Tiene Antecedentes Enf. Cardiovascular Aterosclerótica? valor SI, y en el Campo Estado valor Ingreso o Seguimiento
y/ó
Y Además en Sección 4.- COMPLICACIONES en el campo ¿Ha presentado IAM? el valor SI o en campo ¿Ha presentado ACV? el valor SI.
- En la sección 8.- DERC - Detección y Prevención de la Progresión de la Enfermedad Renal Crónica, una de las opcione en Campo Enfermedad Renal Crónica y además en campo Estado ERC el valor Ingreso o seguimiento
Además los pacientes debe tener registrado el Riesgo Cardiovascular o Riesgo Cardiovascular por Framingham el valor "Bajo", "Moderado" o "Alto"
Además en campo</t>
        </r>
        <r>
          <rPr>
            <b/>
            <sz val="9"/>
            <color indexed="81"/>
            <rFont val="Tahoma"/>
            <family val="2"/>
          </rPr>
          <t xml:space="preserve"> I.M.C</t>
        </r>
        <r>
          <rPr>
            <sz val="9"/>
            <color indexed="81"/>
            <rFont val="Tahoma"/>
            <family val="2"/>
          </rPr>
          <t xml:space="preserve">. tenga un valor </t>
        </r>
        <r>
          <rPr>
            <b/>
            <sz val="9"/>
            <color indexed="81"/>
            <rFont val="Tahoma"/>
            <family val="2"/>
          </rPr>
          <t xml:space="preserve">Igual o Mayor a 32 </t>
        </r>
        <r>
          <rPr>
            <sz val="9"/>
            <color indexed="81"/>
            <rFont val="Tahoma"/>
            <family val="2"/>
          </rPr>
          <t xml:space="preserve"> 
Además, </t>
        </r>
        <r>
          <rPr>
            <b/>
            <sz val="9"/>
            <color indexed="81"/>
            <rFont val="Tahoma"/>
            <family val="2"/>
          </rPr>
          <t>la edad del paciente</t>
        </r>
        <r>
          <rPr>
            <sz val="9"/>
            <color indexed="81"/>
            <rFont val="Tahoma"/>
            <family val="2"/>
          </rPr>
          <t xml:space="preserve"> en el momento del formulario </t>
        </r>
        <r>
          <rPr>
            <b/>
            <sz val="9"/>
            <color indexed="81"/>
            <rFont val="Tahoma"/>
            <family val="2"/>
          </rPr>
          <t>mayores o igual  65 años</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86" authorId="1" shapeId="0" xr:uid="{ADB03AAE-99B8-45F7-A034-4BB9A27A354B}">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"SALUD CARDIOVASCULAR INTEGRAL"</t>
        </r>
        <r>
          <rPr>
            <sz val="9"/>
            <color indexed="81"/>
            <rFont val="Tahoma"/>
            <family val="2"/>
          </rPr>
          <t>; en el campo:
-  En Sección 3.- PATOLOGÍAS / ANTECEDENTES MÓRBIDOS  en el Campo Tiene Hipertensión Arterial, la opción SI   y en campo Estado el valor Ingreso o Seguimiento
y/ó
-  En Sección 3.- PATOLOGÍAS / ANTECEDENTES MÓRBIDOS  en el Campo Tiene Diabetes Mellitus 2, la opción SI y en campo Estado el valor Ingreso o Seguimiento
y/ó
-  En Sección 3.- PATOLOGÍAS / ANTECEDENTES MÓRBIDOS  en el Campo Tiene Dislipidemia, la opción SI y en campo Estado el valor Ingreso o Seguimiento
 - En Sección 3.- PATOLOGÍAS / ANTECEDENTES MÓRBIDOS  en el Campo Tabaquismo Actual , la opción SI y en campo Estado el valor Ingreso o Seguimiento.(Se contabilizará solo en personas mayores o igual a 55 años)
y/ó
 -   En Sección 3.- PATOLOGÍAS / ANTECEDENTES MÓRBIDOS  en el Campo ¿Tiene Antecedentes Enf. Cardiovascular Aterosclerótica? valor SI, y en el Campo Estado valor Ingreso o Seguimiento
y/ó
Y Además en Sección 4.- COMPLICACIONES en el campo ¿Ha presentado IAM? el valor SI o en campo ¿Ha presentado ACV? el valor SI.
- En la sección 8.- DERC - Detección y Prevención de la Progresión de la Enfermedad Renal Crónica, una de las opcione en Campo Enfermedad Renal Crónica y además en campo Estado ERC el valor Ingreso o seguimiento
Además los pacientes debe tener registrado el Riesgo Cardiovascular o Riesgo Cardiovascular por Framingham el valor "Bajo", "Moderado" o "Alto"
Además, en la sección</t>
        </r>
        <r>
          <rPr>
            <b/>
            <sz val="9"/>
            <color indexed="81"/>
            <rFont val="Tahoma"/>
            <family val="2"/>
          </rPr>
          <t xml:space="preserve"> 2.- HÁBITOS Y AUTOCUIDADO</t>
        </r>
        <r>
          <rPr>
            <sz val="9"/>
            <color indexed="81"/>
            <rFont val="Tahoma"/>
            <family val="2"/>
          </rPr>
          <t xml:space="preserve"> en el Campo </t>
        </r>
        <r>
          <rPr>
            <b/>
            <sz val="9"/>
            <color indexed="81"/>
            <rFont val="Tahoma"/>
            <family val="2"/>
          </rPr>
          <t>Realiza Actividad Física Segun Prescripción de Salud Cardiovascular</t>
        </r>
        <r>
          <rPr>
            <sz val="9"/>
            <color indexed="81"/>
            <rFont val="Tahoma"/>
            <family val="2"/>
          </rPr>
          <t xml:space="preserve"> contenga el valor </t>
        </r>
        <r>
          <rPr>
            <b/>
            <sz val="9"/>
            <color indexed="81"/>
            <rFont val="Tahoma"/>
            <family val="2"/>
          </rPr>
          <t xml:space="preserve">Sí
</t>
        </r>
        <r>
          <rPr>
            <sz val="9"/>
            <color indexed="81"/>
            <rFont val="Tahoma"/>
            <family val="2"/>
          </rPr>
          <t xml:space="preserve">y Además en campos </t>
        </r>
        <r>
          <rPr>
            <b/>
            <sz val="9"/>
            <color indexed="81"/>
            <rFont val="Tahoma"/>
            <family val="2"/>
          </rPr>
          <t>"Fecha Próximo Control"</t>
        </r>
        <r>
          <rPr>
            <sz val="9"/>
            <color indexed="81"/>
            <rFont val="Tahoma"/>
            <family val="2"/>
          </rPr>
          <t xml:space="preserve">  tenga registrada una fecha aproximada de su proximo control del programa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87" authorId="2" shapeId="0" xr:uid="{3AB99425-BB6E-4C9E-A0E2-B050F877CAAF}">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"SALUD CARDIOVASCULAR INTEGRALr";</t>
        </r>
        <r>
          <rPr>
            <sz val="9"/>
            <color indexed="81"/>
            <rFont val="Tahoma"/>
            <family val="2"/>
          </rPr>
          <t xml:space="preserve"> en el campo:
-  En Sección</t>
        </r>
        <r>
          <rPr>
            <b/>
            <sz val="9"/>
            <color indexed="81"/>
            <rFont val="Tahoma"/>
            <family val="2"/>
          </rPr>
          <t xml:space="preserve"> 3.- PATOLOGÍAS / ANTECEDENTES MÓRBIDOS  e</t>
        </r>
        <r>
          <rPr>
            <sz val="9"/>
            <color indexed="81"/>
            <rFont val="Tahoma"/>
            <family val="2"/>
          </rPr>
          <t xml:space="preserve">n el Campo Tiene </t>
        </r>
        <r>
          <rPr>
            <b/>
            <sz val="9"/>
            <color indexed="81"/>
            <rFont val="Tahoma"/>
            <family val="2"/>
          </rPr>
          <t>Diabetes Mellitus 2,</t>
        </r>
        <r>
          <rPr>
            <sz val="9"/>
            <color indexed="81"/>
            <rFont val="Tahoma"/>
            <family val="2"/>
          </rPr>
          <t xml:space="preserve"> la opción SI y en campo Estado el valor Ingreso o Seguimiento
(el registro haya sido realizado hasta un plazo maximo de 1 año hacia atrás desde la fecha de corte)
Además, en el Campo </t>
        </r>
        <r>
          <rPr>
            <b/>
            <sz val="9"/>
            <color indexed="81"/>
            <rFont val="Tahoma"/>
            <family val="2"/>
          </rPr>
          <t>¿Tabaquismo Actual? t</t>
        </r>
        <r>
          <rPr>
            <sz val="9"/>
            <color indexed="81"/>
            <rFont val="Tahoma"/>
            <family val="2"/>
          </rPr>
          <t xml:space="preserve">enga el valor </t>
        </r>
        <r>
          <rPr>
            <b/>
            <sz val="9"/>
            <color indexed="81"/>
            <rFont val="Tahoma"/>
            <family val="2"/>
          </rPr>
          <t>Si</t>
        </r>
        <r>
          <rPr>
            <sz val="9"/>
            <color indexed="81"/>
            <rFont val="Tahoma"/>
            <family val="2"/>
          </rPr>
          <t xml:space="preserve">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r>
          <rPr>
            <b/>
            <sz val="9"/>
            <color indexed="81"/>
            <rFont val="Tahoma"/>
            <family val="2"/>
          </rPr>
          <t xml:space="preserve">
</t>
        </r>
      </text>
    </comment>
    <comment ref="C88" authorId="1" shapeId="0" xr:uid="{02647C4E-BC8F-47DD-9C54-1586D1A5FEEA}">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 y el paciente tenga alguna patología del programa</t>
        </r>
        <r>
          <rPr>
            <sz val="9"/>
            <color indexed="81"/>
            <rFont val="Tahoma"/>
            <family val="2"/>
          </rPr>
          <t xml:space="preserve">; 
- En la sección </t>
        </r>
        <r>
          <rPr>
            <b/>
            <sz val="9"/>
            <color indexed="81"/>
            <rFont val="Tahoma"/>
            <family val="2"/>
          </rPr>
          <t>8.- DERC - Detección y Prevención de la Progresión de la Enfermedad Renal Crónica</t>
        </r>
        <r>
          <rPr>
            <sz val="9"/>
            <color indexed="81"/>
            <rFont val="Tahoma"/>
            <family val="2"/>
          </rPr>
          <t xml:space="preserve">, en campo </t>
        </r>
        <r>
          <rPr>
            <b/>
            <sz val="9"/>
            <color indexed="81"/>
            <rFont val="Tahoma"/>
            <family val="2"/>
          </rPr>
          <t xml:space="preserve">"Enfermedad Renal Crónica" </t>
        </r>
        <r>
          <rPr>
            <sz val="9"/>
            <color indexed="81"/>
            <rFont val="Tahoma"/>
            <family val="2"/>
          </rPr>
          <t xml:space="preserve">tenga el alguno de los siguientes valores:
- </t>
        </r>
        <r>
          <rPr>
            <b/>
            <sz val="9"/>
            <color indexed="81"/>
            <rFont val="Tahoma"/>
            <family val="2"/>
          </rPr>
          <t xml:space="preserve">Sin Enfermedad Renal Crónica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89" authorId="2" shapeId="0" xr:uid="{EF0A3470-2928-484D-B43D-1E41699ACF07}">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 xml:space="preserve">"SALUD CARDIOVASCULAR INTEGRAL"";
</t>
        </r>
        <r>
          <rPr>
            <sz val="9"/>
            <color indexed="81"/>
            <rFont val="Tahoma"/>
            <family val="2"/>
          </rPr>
          <t xml:space="preserve">
- En la sección</t>
        </r>
        <r>
          <rPr>
            <b/>
            <sz val="9"/>
            <color indexed="81"/>
            <rFont val="Tahoma"/>
            <family val="2"/>
          </rPr>
          <t xml:space="preserve"> 8.- DERC - Detección y Prevención de la Progresión de la Enfermedad Renal Crónica</t>
        </r>
        <r>
          <rPr>
            <sz val="9"/>
            <color indexed="81"/>
            <rFont val="Tahoma"/>
            <family val="2"/>
          </rPr>
          <t xml:space="preserve">, en el  campo </t>
        </r>
        <r>
          <rPr>
            <b/>
            <sz val="9"/>
            <color indexed="81"/>
            <rFont val="Tahoma"/>
            <family val="2"/>
          </rPr>
          <t>Estado ERC</t>
        </r>
        <r>
          <rPr>
            <sz val="9"/>
            <color indexed="81"/>
            <rFont val="Tahoma"/>
            <family val="2"/>
          </rPr>
          <t xml:space="preserve"> el valor </t>
        </r>
        <r>
          <rPr>
            <b/>
            <sz val="9"/>
            <color indexed="81"/>
            <rFont val="Tahoma"/>
            <family val="2"/>
          </rPr>
          <t xml:space="preserve">Ingreso o Seguimiento </t>
        </r>
        <r>
          <rPr>
            <sz val="9"/>
            <color indexed="81"/>
            <rFont val="Tahoma"/>
            <family val="2"/>
          </rPr>
          <t xml:space="preserve">y  En campo </t>
        </r>
        <r>
          <rPr>
            <b/>
            <sz val="9"/>
            <color indexed="81"/>
            <rFont val="Tahoma"/>
            <family val="2"/>
          </rPr>
          <t>"Enfermedad Renal Crónica</t>
        </r>
        <r>
          <rPr>
            <sz val="9"/>
            <color indexed="81"/>
            <rFont val="Tahoma"/>
            <family val="2"/>
          </rPr>
          <t xml:space="preserve">" tenga uno de los siguientes valores;
</t>
        </r>
        <r>
          <rPr>
            <b/>
            <sz val="9"/>
            <color indexed="81"/>
            <rFont val="Tahoma"/>
            <family val="2"/>
          </rPr>
          <t xml:space="preserve">  
G1 - A1: VFG &gt;o= a 90 y   RAC &lt;30     
G1 - A2:  VFG &gt;o= a 90 y RAC 30 a 300  (ERC / RA)      
G1 - A3:  VFG &gt;o= a 90 y RAC  &gt;300 (ERC / RA)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90" authorId="2" shapeId="0" xr:uid="{5F3A2E8B-6F4A-41E9-9F3E-098752BDB6C1}">
      <text>
        <r>
          <rPr>
            <sz val="9"/>
            <color indexed="81"/>
            <rFont val="Tahoma"/>
            <family val="2"/>
          </rPr>
          <t>Este dato aparecerá  luego de que en la atención registrada en Módulo de Box/Pacientes citados ó Módulo Box/Agregar documento a una atención; se registre el Formulario Clínico:</t>
        </r>
        <r>
          <rPr>
            <b/>
            <sz val="9"/>
            <color indexed="81"/>
            <rFont val="Tahoma"/>
            <family val="2"/>
          </rPr>
          <t xml:space="preserve"> ""SALUD CARDIOVASCULAR INTEGRAL""</t>
        </r>
        <r>
          <rPr>
            <sz val="9"/>
            <color indexed="81"/>
            <rFont val="Tahoma"/>
            <family val="2"/>
          </rPr>
          <t>;
- En la sección 8.- DERC - Detección y Prevención de la Progresión de la Enfermedad Renal Crónica, en el  campo Estado ERC el valor Ingreso o Seguimiento y  En campo "</t>
        </r>
        <r>
          <rPr>
            <b/>
            <sz val="9"/>
            <color indexed="81"/>
            <rFont val="Tahoma"/>
            <family val="2"/>
          </rPr>
          <t>Enfermedad Renal Crónica"</t>
        </r>
        <r>
          <rPr>
            <sz val="9"/>
            <color indexed="81"/>
            <rFont val="Tahoma"/>
            <family val="2"/>
          </rPr>
          <t xml:space="preserve"> tenga uno de los siguientes valores.
- </t>
        </r>
        <r>
          <rPr>
            <b/>
            <sz val="9"/>
            <color indexed="81"/>
            <rFont val="Tahoma"/>
            <family val="2"/>
          </rPr>
          <t>G2 - A1:  VFG 60 a 89 y  RAC &lt;30      
- G2 - A2:  VFG 60 a 89 y RAC 30 a 300  (ERC / RA)      
- G2 - A3:   VFG 60 a 89 y RAC &gt;300 (ERC / RA)</t>
        </r>
        <r>
          <rPr>
            <sz val="9"/>
            <color indexed="81"/>
            <rFont val="Tahoma"/>
            <family val="2"/>
          </rPr>
          <t xml:space="preserve">
</t>
        </r>
        <r>
          <rPr>
            <b/>
            <sz val="9"/>
            <color indexed="81"/>
            <rFont val="Tahoma"/>
            <family val="2"/>
          </rPr>
          <t xml:space="preserve">
Y </t>
        </r>
        <r>
          <rPr>
            <sz val="9"/>
            <color indexed="81"/>
            <rFont val="Tahoma"/>
            <family val="2"/>
          </rPr>
          <t>Además en campos</t>
        </r>
        <r>
          <rPr>
            <b/>
            <sz val="9"/>
            <color indexed="81"/>
            <rFont val="Tahoma"/>
            <family val="2"/>
          </rPr>
          <t xml:space="preserve"> "Fecha Próximo Control"</t>
        </r>
        <r>
          <rPr>
            <sz val="9"/>
            <color indexed="81"/>
            <rFont val="Tahoma"/>
            <family val="2"/>
          </rPr>
          <t xml:space="preserve">  tenga registrada una fecha aproximada de su proximo control del programa
*Formularios Clínicos tambien se pueden agregar desde Modulo Box/Agregar documentos a una atencion*</t>
        </r>
        <r>
          <rPr>
            <b/>
            <sz val="9"/>
            <color indexed="81"/>
            <rFont val="Tahoma"/>
            <family val="2"/>
          </rPr>
          <t xml:space="preserve">
</t>
        </r>
      </text>
    </comment>
    <comment ref="C91" authorId="1" shapeId="0" xr:uid="{9E87BD8F-222E-4082-AB3F-8BA8CC259874}">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 En la sección 8.- DERC - Detección y Prevención de la Progresión de la Enfermedad Renal Crónica, en el  campo Estado ERC el valor Ingreso o Seguimiento y en campo</t>
        </r>
        <r>
          <rPr>
            <b/>
            <sz val="9"/>
            <color indexed="81"/>
            <rFont val="Tahoma"/>
            <family val="2"/>
          </rPr>
          <t xml:space="preserve"> "Enfermedad Renal Crónica"</t>
        </r>
        <r>
          <rPr>
            <sz val="9"/>
            <color indexed="81"/>
            <rFont val="Tahoma"/>
            <family val="2"/>
          </rPr>
          <t xml:space="preserve"> tenga uno de los siguientes valores;
- </t>
        </r>
        <r>
          <rPr>
            <b/>
            <sz val="9"/>
            <color indexed="81"/>
            <rFont val="Tahoma"/>
            <family val="2"/>
          </rPr>
          <t xml:space="preserve">G3a - A1: VFG 45 a 59 y   RAC &lt;30 (&gt; o = de 65 años)       
- G3a - A1:  VFG 45 a 59 y RAC &lt;30 (&lt; 65 años)  (ERC/RA)      
- G3a - A2:  VFG 45 a 59 y RAC 30 a 300 (ERC / RA)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92" authorId="1" shapeId="0" xr:uid="{86C9946E-1890-4DA6-81B4-231236291EF2}">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 ""SALUD CARDIOVASCULAR INTEGRAL"</t>
        </r>
        <r>
          <rPr>
            <sz val="9"/>
            <color indexed="81"/>
            <rFont val="Tahoma"/>
            <family val="2"/>
          </rPr>
          <t xml:space="preserve">;
- En la sección 8.- DERC - Detección y Prevención de la Progresión de la Enfermedad Renal Crónica, en el  campo Estado ERC el valor Ingreso o Seguimiento y En campo </t>
        </r>
        <r>
          <rPr>
            <b/>
            <sz val="9"/>
            <color indexed="81"/>
            <rFont val="Tahoma"/>
            <family val="2"/>
          </rPr>
          <t>"Enfermedad Renal Crónica"</t>
        </r>
        <r>
          <rPr>
            <sz val="9"/>
            <color indexed="81"/>
            <rFont val="Tahoma"/>
            <family val="2"/>
          </rPr>
          <t xml:space="preserve"> tenga uno de los siguientes valores;
</t>
        </r>
        <r>
          <rPr>
            <b/>
            <sz val="9"/>
            <color indexed="81"/>
            <rFont val="Tahoma"/>
            <family val="2"/>
          </rPr>
          <t xml:space="preserve">G3b - A1:  VFG 30 a 44 y RAC &lt;30 (ERC / RA)      
G3b - A2:  VFG 30 a 44 y RAC 30 a 300 (ERC / RA)      
G3b - A3:  VFG 30 a 44 y RAC &gt;300 (ERC / RA) 
</t>
        </r>
        <r>
          <rPr>
            <sz val="9"/>
            <color indexed="81"/>
            <rFont val="Tahoma"/>
            <family val="2"/>
          </rPr>
          <t xml:space="preserve">
Y
Además en campos </t>
        </r>
        <r>
          <rPr>
            <b/>
            <sz val="9"/>
            <color indexed="81"/>
            <rFont val="Tahoma"/>
            <family val="2"/>
          </rPr>
          <t xml:space="preserve">"Fecha Próximo Control" </t>
        </r>
        <r>
          <rPr>
            <sz val="9"/>
            <color indexed="81"/>
            <rFont val="Tahoma"/>
            <family val="2"/>
          </rPr>
          <t xml:space="preserve"> tenga registrada una fecha aproximada de su proximo control del programa
*Formularios Clínicos tambien se pueden agregar desde Modulo Box/Agregar documentos a una atencion*
</t>
        </r>
        <r>
          <rPr>
            <b/>
            <sz val="9"/>
            <color indexed="81"/>
            <rFont val="Tahoma"/>
            <family val="2"/>
          </rPr>
          <t xml:space="preserve">
</t>
        </r>
      </text>
    </comment>
    <comment ref="C93" authorId="1" shapeId="0" xr:uid="{1A9CE903-4B81-41E7-B2CB-9ABCBE291B47}">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""SALUD CARDIOVASCULAR INTEGRAL""</t>
        </r>
        <r>
          <rPr>
            <sz val="9"/>
            <color indexed="81"/>
            <rFont val="Tahoma"/>
            <family val="2"/>
          </rPr>
          <t xml:space="preserve">; 
- En la sección 8.- DERC - Detección y Prevención de la Progresión de la Enfermedad Renal Crónica, en el  campo Estado ERC el valor Ingreso o Seguimiento y En campo </t>
        </r>
        <r>
          <rPr>
            <b/>
            <sz val="9"/>
            <color indexed="81"/>
            <rFont val="Tahoma"/>
            <family val="2"/>
          </rPr>
          <t xml:space="preserve">"Enfermedad Renal Crónica" </t>
        </r>
        <r>
          <rPr>
            <sz val="9"/>
            <color indexed="81"/>
            <rFont val="Tahoma"/>
            <family val="2"/>
          </rPr>
          <t xml:space="preserve">tenga uno de los siguientes valores;
</t>
        </r>
        <r>
          <rPr>
            <b/>
            <sz val="9"/>
            <color indexed="81"/>
            <rFont val="Tahoma"/>
            <family val="2"/>
          </rPr>
          <t xml:space="preserve">- G4 - A1:   VFG 15 a 29 y RAC &lt;30 (ERC/RA)        
- G4 - A2:  VFG 15 a 29 y RAC 30 a 300 (ERC/RA)      
- G4 - A3:  VFG 15 a 29 y RAC &gt;300 (ERC/RA) </t>
        </r>
        <r>
          <rPr>
            <sz val="9"/>
            <color indexed="81"/>
            <rFont val="Tahoma"/>
            <family val="2"/>
          </rPr>
          <t xml:space="preserve">
Y Además en campos </t>
        </r>
        <r>
          <rPr>
            <b/>
            <sz val="9"/>
            <color indexed="81"/>
            <rFont val="Tahoma"/>
            <family val="2"/>
          </rPr>
          <t>"Fecha Próximo Control"</t>
        </r>
        <r>
          <rPr>
            <sz val="9"/>
            <color indexed="81"/>
            <rFont val="Tahoma"/>
            <family val="2"/>
          </rPr>
          <t xml:space="preserve">  tenga registrada una fecha aproximada de su proximo control del programa
*Formularios Clínicos tambien se pueden agregar desde Modulo Box/Agregar documentos a una atencion*
</t>
        </r>
      </text>
    </comment>
    <comment ref="C94" authorId="1" shapeId="0" xr:uid="{782F34E4-F034-4634-975D-87DCAFDCE50C}">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la sección 8.- DERC - Detección y Prevención de la Progresión de la Enfermedad Renal Crónica, en el  campo Estado ERC el valor Ingreso o Seguimiento y en campo</t>
        </r>
        <r>
          <rPr>
            <b/>
            <sz val="9"/>
            <color indexed="81"/>
            <rFont val="Tahoma"/>
            <family val="2"/>
          </rPr>
          <t xml:space="preserve"> "Enfermedad Renal Crónica" </t>
        </r>
        <r>
          <rPr>
            <sz val="9"/>
            <color indexed="81"/>
            <rFont val="Tahoma"/>
            <family val="2"/>
          </rPr>
          <t>tenga uno de los siguientes valores;</t>
        </r>
        <r>
          <rPr>
            <b/>
            <sz val="9"/>
            <color indexed="81"/>
            <rFont val="Tahoma"/>
            <family val="2"/>
          </rPr>
          <t xml:space="preserve">
- G5 - A1:  VFG &lt;15 y RAC &lt;30 (ERC/RA)      
- G5 - A2:  VFG &lt;15 y RAC 30 a 300 (ERC/RA)  
- G5 - A3:  VFG &lt;15 y RAC &gt;300 (ERC/RA) 
</t>
        </r>
        <r>
          <rPr>
            <sz val="9"/>
            <color indexed="81"/>
            <rFont val="Tahoma"/>
            <family val="2"/>
          </rPr>
          <t xml:space="preserve">
Y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 ref="C95" authorId="1" shapeId="0" xr:uid="{F44495EB-B51F-4BC5-B1AC-7B2E50EEA946}">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"SALUD CARDIOVASCULAR INTEGRAL"</t>
        </r>
        <r>
          <rPr>
            <sz val="9"/>
            <color indexed="81"/>
            <rFont val="Tahoma"/>
            <family val="2"/>
          </rPr>
          <t>; en el campo:
- En la sección 8.- DERC - Detección y Prevención de la Progresión de la Enfermedad Renal Crónica, en el  campo Estado ERC el valor Ingreso o Seguimiento y en campo</t>
        </r>
        <r>
          <rPr>
            <b/>
            <sz val="9"/>
            <color indexed="81"/>
            <rFont val="Tahoma"/>
            <family val="2"/>
          </rPr>
          <t xml:space="preserve"> "Enfermedad Renal Crónica" </t>
        </r>
        <r>
          <rPr>
            <sz val="9"/>
            <color indexed="81"/>
            <rFont val="Tahoma"/>
            <family val="2"/>
          </rPr>
          <t>tenga el valor;</t>
        </r>
        <r>
          <rPr>
            <b/>
            <sz val="9"/>
            <color indexed="81"/>
            <rFont val="Tahoma"/>
            <family val="2"/>
          </rPr>
          <t xml:space="preserve">
- Desconoce si tiene ERC
</t>
        </r>
        <r>
          <rPr>
            <sz val="9"/>
            <color indexed="81"/>
            <rFont val="Tahoma"/>
            <family val="2"/>
          </rPr>
          <t xml:space="preserve">
Y Además en campos</t>
        </r>
        <r>
          <rPr>
            <b/>
            <sz val="9"/>
            <color indexed="81"/>
            <rFont val="Tahoma"/>
            <family val="2"/>
          </rPr>
          <t xml:space="preserve"> "Fecha Próximo Control" </t>
        </r>
        <r>
          <rPr>
            <sz val="9"/>
            <color indexed="81"/>
            <rFont val="Tahoma"/>
            <family val="2"/>
          </rPr>
          <t xml:space="preserve"> tenga registrada una fecha aproximada de su proximo control del programa
*Formularios Clínicos tambien se pueden agregar desde Modulo Box/Agregar documentos a una atencion*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Nicole Cisternas</author>
  </authors>
  <commentList>
    <comment ref="V9" authorId="0" shapeId="0" xr:uid="{8A6C60B4-7C37-4E7F-967E-614B79DC68B9}">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X9" authorId="0" shapeId="0" xr:uid="{CB574E5C-1B39-4CF8-A23F-60D0FDF5F35C}">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Z9" authorId="0" shapeId="0" xr:uid="{AE32B7FD-C22C-4DA1-9307-1C281B9AAB47}">
      <text>
        <r>
          <rPr>
            <sz val="9"/>
            <color indexed="81"/>
            <rFont val="Tahoma"/>
            <family val="2"/>
          </rPr>
          <t xml:space="preserve">Contabiliza los pacientes bajo control, inscritos y que en el </t>
        </r>
        <r>
          <rPr>
            <b/>
            <sz val="9"/>
            <color indexed="81"/>
            <rFont val="Tahoma"/>
            <family val="2"/>
          </rPr>
          <t>Módulo Admisión/Inscripción Item Alertas Administrativa</t>
        </r>
        <r>
          <rPr>
            <sz val="9"/>
            <color indexed="81"/>
            <rFont val="Tahoma"/>
            <family val="2"/>
          </rPr>
          <t>s marque alguno de los campos</t>
        </r>
        <r>
          <rPr>
            <b/>
            <sz val="9"/>
            <color indexed="81"/>
            <rFont val="Tahoma"/>
            <family val="2"/>
          </rPr>
          <t>"Población ELEAM</t>
        </r>
        <r>
          <rPr>
            <sz val="9"/>
            <color indexed="81"/>
            <rFont val="Tahoma"/>
            <family val="2"/>
          </rPr>
          <t>" o "</t>
        </r>
        <r>
          <rPr>
            <b/>
            <sz val="9"/>
            <color indexed="81"/>
            <rFont val="Tahoma"/>
            <family val="2"/>
          </rPr>
          <t>Población ELEAM Institucionalizada".</t>
        </r>
      </text>
    </comment>
    <comment ref="A12" authorId="0" shapeId="0" xr:uid="{1C10608D-8904-4C79-8A2C-728085714183}">
      <text>
        <r>
          <rPr>
            <sz val="9"/>
            <color indexed="81"/>
            <rFont val="Tahoma"/>
            <family val="2"/>
          </rPr>
          <t xml:space="preserve">Registrada en el Módulo Box - Pacientes Citados  o en Agregar documentos a una atención  y en el </t>
        </r>
        <r>
          <rPr>
            <b/>
            <sz val="9"/>
            <color indexed="81"/>
            <rFont val="Tahoma"/>
            <family val="2"/>
          </rPr>
          <t xml:space="preserve"> 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t>
        </r>
        <r>
          <rPr>
            <b/>
            <sz val="9"/>
            <color indexed="81"/>
            <rFont val="Tahoma"/>
            <family val="2"/>
          </rPr>
          <t xml:space="preserve"> RESULTADO EFAM PARTE "B"</t>
        </r>
        <r>
          <rPr>
            <sz val="9"/>
            <color indexed="81"/>
            <rFont val="Tahoma"/>
            <family val="2"/>
          </rPr>
          <t xml:space="preserve"> registre</t>
        </r>
        <r>
          <rPr>
            <b/>
            <sz val="9"/>
            <color indexed="81"/>
            <rFont val="Tahoma"/>
            <family val="2"/>
          </rPr>
          <t xml:space="preserve"> PERSONA AUTOVALENTE SIN RIESGO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3" authorId="0" shapeId="0" xr:uid="{A6F64691-0661-4056-A2E5-D71258963C2C}">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t>
        </r>
        <r>
          <rPr>
            <b/>
            <sz val="9"/>
            <color indexed="81"/>
            <rFont val="Tahoma"/>
            <family val="2"/>
          </rPr>
          <t xml:space="preserve"> RESULTADO EFAM PARTE "B"</t>
        </r>
        <r>
          <rPr>
            <sz val="9"/>
            <color indexed="81"/>
            <rFont val="Tahoma"/>
            <family val="2"/>
          </rPr>
          <t xml:space="preserve"> registre</t>
        </r>
        <r>
          <rPr>
            <b/>
            <sz val="9"/>
            <color indexed="81"/>
            <rFont val="Tahoma"/>
            <family val="2"/>
          </rPr>
          <t xml:space="preserve"> PERSONA AUTOVALENTE CON RIESGO</t>
        </r>
        <r>
          <rPr>
            <sz val="9"/>
            <color indexed="81"/>
            <rFont val="Tahoma"/>
            <family val="2"/>
          </rPr>
          <t xml:space="preserve">
Referencia Manual DEIS Serie P: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4" authorId="0" shapeId="0" xr:uid="{8FB8CB00-7930-4672-9F53-8FE1A5119435}">
      <text>
        <r>
          <rPr>
            <sz val="9"/>
            <color indexed="81"/>
            <rFont val="Tahoma"/>
            <family val="2"/>
          </rPr>
          <t xml:space="preserve">
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 </t>
        </r>
        <r>
          <rPr>
            <b/>
            <sz val="9"/>
            <color indexed="81"/>
            <rFont val="Tahoma"/>
            <family val="2"/>
          </rPr>
          <t>RESULTADO EFAM PARTE "A"</t>
        </r>
        <r>
          <rPr>
            <sz val="9"/>
            <color indexed="81"/>
            <rFont val="Tahoma"/>
            <family val="2"/>
          </rPr>
          <t xml:space="preserve"> registre</t>
        </r>
        <r>
          <rPr>
            <b/>
            <sz val="9"/>
            <color indexed="81"/>
            <rFont val="Tahoma"/>
            <family val="2"/>
          </rPr>
          <t xml:space="preserve"> RIESGO DE DEPENDENCIA</t>
        </r>
        <r>
          <rPr>
            <sz val="9"/>
            <color indexed="81"/>
            <rFont val="Tahoma"/>
            <family val="2"/>
          </rPr>
          <t xml:space="preserve">
Referencia Manual DEIS Serie P: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5" authorId="0" shapeId="0" xr:uid="{8E289906-23B9-419D-9504-080BEEEBF0E8}">
      <text>
        <r>
          <rPr>
            <b/>
            <sz val="9"/>
            <color indexed="81"/>
            <rFont val="Tahoma"/>
            <family val="2"/>
          </rPr>
          <t xml:space="preserve">
</t>
        </r>
        <r>
          <rPr>
            <sz val="9"/>
            <color indexed="81"/>
            <rFont val="Tahoma"/>
            <family val="2"/>
          </rPr>
          <t>Sumatoria de las Condiciónes de Funcionalidad.</t>
        </r>
        <r>
          <rPr>
            <b/>
            <sz val="9"/>
            <color indexed="81"/>
            <rFont val="Tahoma"/>
            <family val="2"/>
          </rPr>
          <t xml:space="preserve">
AUTOVALENTE SIN RIESGO
AUTOVALENTE CON RIESGO
RIESGO DEPENDENCIA</t>
        </r>
      </text>
    </comment>
    <comment ref="A16" authorId="0" shapeId="0" xr:uid="{AE9FE8DB-A153-4B44-8FD0-9CA137032152}">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o Seguimiento</t>
        </r>
        <r>
          <rPr>
            <sz val="9"/>
            <color indexed="81"/>
            <rFont val="Tahoma"/>
            <family val="2"/>
          </rPr>
          <t xml:space="preserve">
Y en la sección </t>
        </r>
        <r>
          <rPr>
            <b/>
            <sz val="9"/>
            <color indexed="81"/>
            <rFont val="Tahoma"/>
            <family val="2"/>
          </rPr>
          <t>Indice de Barthel (Por Atencion), en el campo NIVEL DE SEVERIDAD Tenga seleccionado DEPENDENCIA LEVE.</t>
        </r>
        <r>
          <rPr>
            <sz val="9"/>
            <color indexed="81"/>
            <rFont val="Tahoma"/>
            <family val="2"/>
          </rPr>
          <t xml:space="preserve">
Ó
Fomulario</t>
        </r>
        <r>
          <rPr>
            <b/>
            <sz val="9"/>
            <color indexed="81"/>
            <rFont val="Tahoma"/>
            <family val="2"/>
          </rPr>
          <t xml:space="preserve"> Indice de Barthel</t>
        </r>
        <r>
          <rPr>
            <sz val="9"/>
            <color indexed="81"/>
            <rFont val="Tahoma"/>
            <family val="2"/>
          </rPr>
          <t xml:space="preserve"> tenga como resultado en el Campo </t>
        </r>
        <r>
          <rPr>
            <b/>
            <sz val="9"/>
            <color indexed="81"/>
            <rFont val="Tahoma"/>
            <family val="2"/>
          </rPr>
          <t>Nivel de Severidad</t>
        </r>
        <r>
          <rPr>
            <sz val="9"/>
            <color indexed="81"/>
            <rFont val="Tahoma"/>
            <family val="2"/>
          </rPr>
          <t xml:space="preserve"> el valor</t>
        </r>
        <r>
          <rPr>
            <b/>
            <sz val="9"/>
            <color indexed="81"/>
            <rFont val="Tahoma"/>
            <family val="2"/>
          </rPr>
          <t xml:space="preserve"> Dependencia Leve
</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7" authorId="0" shapeId="0" xr:uid="{9D694F6E-BB22-42F5-937E-A91F9CEC38D4}">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o Seguimiento</t>
        </r>
        <r>
          <rPr>
            <sz val="9"/>
            <color indexed="81"/>
            <rFont val="Tahoma"/>
            <family val="2"/>
          </rPr>
          <t xml:space="preserve">
Y en la sección</t>
        </r>
        <r>
          <rPr>
            <b/>
            <sz val="9"/>
            <color indexed="81"/>
            <rFont val="Tahoma"/>
            <family val="2"/>
          </rPr>
          <t xml:space="preserve"> Indice de Barthel (Por Atencion), en el campo NIVEL DE SEVERIDAD Tenga seleccionado DEPENDENCIA MODERADO.</t>
        </r>
        <r>
          <rPr>
            <sz val="9"/>
            <color indexed="81"/>
            <rFont val="Tahoma"/>
            <family val="2"/>
          </rPr>
          <t xml:space="preserve">
Ó
Fomulario </t>
        </r>
        <r>
          <rPr>
            <b/>
            <sz val="9"/>
            <color indexed="81"/>
            <rFont val="Tahoma"/>
            <family val="2"/>
          </rPr>
          <t xml:space="preserve">Indice de Barthel </t>
        </r>
        <r>
          <rPr>
            <sz val="9"/>
            <color indexed="81"/>
            <rFont val="Tahoma"/>
            <family val="2"/>
          </rPr>
          <t>tenga como resultado en el Campo</t>
        </r>
        <r>
          <rPr>
            <b/>
            <sz val="9"/>
            <color indexed="81"/>
            <rFont val="Tahoma"/>
            <family val="2"/>
          </rPr>
          <t xml:space="preserve"> Nivel de Severidad el valor Dependencia Moderada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8" authorId="0" shapeId="0" xr:uid="{B0B922F0-3178-48C2-A1AF-9874E142F2C7}">
      <text>
        <r>
          <rPr>
            <sz val="9"/>
            <color indexed="81"/>
            <rFont val="Tahoma"/>
            <family val="2"/>
          </rPr>
          <t xml:space="preserve">Registrada en el Módulo Box - Pacientes Citados  o en Agregar documentos a una atención  y en el  Formulario  </t>
        </r>
        <r>
          <rPr>
            <b/>
            <sz val="9"/>
            <color indexed="81"/>
            <rFont val="Tahoma"/>
            <family val="2"/>
          </rPr>
          <t>"EMP - Examen de Medicina Preventiva" se registre en el campo Estado del examen, el valor: EMP Vigente Informado, 
en la Sección EMP En personas Mayores (65 Años o más) se registre en el campo Estado del Paciente el valor: Ingreso o Seguimiento
Y en la sección Indice de Barthel (Por Atencion), en el campo NIVEL DE SEVERIDAD Tenga seleccionado DEPENDENCIA GRAVE</t>
        </r>
        <r>
          <rPr>
            <sz val="9"/>
            <color indexed="81"/>
            <rFont val="Tahoma"/>
            <family val="2"/>
          </rPr>
          <t xml:space="preserve">
Ó
Fomulario</t>
        </r>
        <r>
          <rPr>
            <b/>
            <sz val="9"/>
            <color indexed="81"/>
            <rFont val="Tahoma"/>
            <family val="2"/>
          </rPr>
          <t xml:space="preserve"> Indice de Barthel</t>
        </r>
        <r>
          <rPr>
            <sz val="9"/>
            <color indexed="81"/>
            <rFont val="Tahoma"/>
            <family val="2"/>
          </rPr>
          <t xml:space="preserve"> tenga como resultado en el Campo</t>
        </r>
        <r>
          <rPr>
            <b/>
            <sz val="9"/>
            <color indexed="81"/>
            <rFont val="Tahoma"/>
            <family val="2"/>
          </rPr>
          <t xml:space="preserve"> Nivel de Severidad el valor Dependencia Grave</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9" authorId="1" shapeId="0" xr:uid="{807E0E99-E1A8-47D1-B3D0-1C473BCDD541}">
      <text>
        <r>
          <rPr>
            <sz val="9"/>
            <color indexed="81"/>
            <rFont val="Tahoma"/>
            <family val="2"/>
          </rPr>
          <t xml:space="preserve">
Registrada en el </t>
        </r>
        <r>
          <rPr>
            <b/>
            <sz val="9"/>
            <color indexed="81"/>
            <rFont val="Tahoma"/>
            <family val="2"/>
          </rPr>
          <t>Módulo Box - Pacientes Citados  o en Agregar documentos a una atención  y en el  Formulario  "EMP - Examen de Medicina Preventiva" se registre en el campo Estado del examen, el valor: EMP Vigente Informado, 
en la Sección EMP En personas Mayores (65 Años o más) se registre en el campo Estado del Paciente el valor: Ingreso o Seguimiento
Y en la sección Indice de Barthel (Por Atencion), en el campo NIVEL DE SEVERIDAD Tenga seleccionado DEPENDENCIA TOTAL</t>
        </r>
        <r>
          <rPr>
            <sz val="9"/>
            <color indexed="81"/>
            <rFont val="Tahoma"/>
            <family val="2"/>
          </rPr>
          <t xml:space="preserve">
Ó
Fomulario Indice de Barthel tenga como resultado en el Campo </t>
        </r>
        <r>
          <rPr>
            <b/>
            <sz val="9"/>
            <color indexed="81"/>
            <rFont val="Tahoma"/>
            <family val="2"/>
          </rPr>
          <t>Nivel de Severidad el valor Dependencia Total</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20" authorId="0" shapeId="0" xr:uid="{10A2A149-2C79-4CC8-9388-BA932A271288}">
      <text>
        <r>
          <rPr>
            <sz val="9"/>
            <color indexed="81"/>
            <rFont val="Tahoma"/>
            <family val="2"/>
          </rPr>
          <t xml:space="preserve">Sumatoria de condiciones de Funcionalidad:
</t>
        </r>
        <r>
          <rPr>
            <b/>
            <sz val="9"/>
            <color indexed="81"/>
            <rFont val="Tahoma"/>
            <family val="2"/>
          </rPr>
          <t>DEPENDIENTE LEVE
DEPENDIENTE MODERADO
DEPENDIENTE GRAVE
DEPENDIENTE TOTAL</t>
        </r>
      </text>
    </comment>
    <comment ref="A21" authorId="0" shapeId="0" xr:uid="{0EA481AD-FF57-4447-823D-E0C30A67D16B}">
      <text>
        <r>
          <rPr>
            <sz val="9"/>
            <color indexed="81"/>
            <rFont val="Tahoma"/>
            <family val="2"/>
          </rPr>
          <t xml:space="preserve">SUMATORIA:
</t>
        </r>
        <r>
          <rPr>
            <b/>
            <sz val="9"/>
            <color indexed="81"/>
            <rFont val="Tahoma"/>
            <family val="2"/>
          </rPr>
          <t>SUBTOTAL (EFAM) + SUBTOTAL (INDICE BARTHEL)</t>
        </r>
        <r>
          <rPr>
            <sz val="9"/>
            <color indexed="81"/>
            <rFont val="Tahoma"/>
            <family val="2"/>
          </rPr>
          <t xml:space="preserve">
</t>
        </r>
      </text>
    </comment>
    <comment ref="X23" authorId="0" shapeId="0" xr:uid="{F849A656-2619-4B28-A9A0-5EBCF749F940}">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Z23" authorId="0" shapeId="0" xr:uid="{BADAFF79-6D19-437A-B71A-EC8E48A256B5}">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A26" authorId="0" shapeId="0" xr:uid="{8CDEC163-DC8A-46CE-85A7-F2CC38B84CDB}">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y en el Formulario</t>
        </r>
        <r>
          <rPr>
            <b/>
            <sz val="9"/>
            <color indexed="81"/>
            <rFont val="Tahoma"/>
            <family val="2"/>
          </rPr>
          <t xml:space="preserve"> Programa Más Adulto mayor Autovalente</t>
        </r>
        <r>
          <rPr>
            <sz val="9"/>
            <color indexed="81"/>
            <rFont val="Tahoma"/>
            <family val="2"/>
          </rPr>
          <t xml:space="preserve">, en la sección </t>
        </r>
        <r>
          <rPr>
            <b/>
            <sz val="9"/>
            <color indexed="81"/>
            <rFont val="Tahoma"/>
            <family val="2"/>
          </rPr>
          <t>Datos al Ingreso</t>
        </r>
        <r>
          <rPr>
            <sz val="9"/>
            <color indexed="81"/>
            <rFont val="Tahoma"/>
            <family val="2"/>
          </rPr>
          <t xml:space="preserve">, en el campo  </t>
        </r>
        <r>
          <rPr>
            <b/>
            <sz val="9"/>
            <color indexed="81"/>
            <rFont val="Tahoma"/>
            <family val="2"/>
          </rPr>
          <t>Estado</t>
        </r>
        <r>
          <rPr>
            <sz val="9"/>
            <color indexed="81"/>
            <rFont val="Tahoma"/>
            <family val="2"/>
          </rPr>
          <t xml:space="preserve"> tenga el valor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y</t>
        </r>
        <r>
          <rPr>
            <b/>
            <sz val="9"/>
            <color indexed="81"/>
            <rFont val="Tahoma"/>
            <family val="2"/>
          </rPr>
          <t xml:space="preserve"> </t>
        </r>
        <r>
          <rPr>
            <sz val="9"/>
            <color indexed="81"/>
            <rFont val="Tahoma"/>
            <family val="2"/>
          </rPr>
          <t>en el campo</t>
        </r>
        <r>
          <rPr>
            <b/>
            <sz val="9"/>
            <color indexed="81"/>
            <rFont val="Tahoma"/>
            <family val="2"/>
          </rPr>
          <t xml:space="preserve"> Funcionalidad al Ingreso</t>
        </r>
        <r>
          <rPr>
            <sz val="9"/>
            <color indexed="81"/>
            <rFont val="Tahoma"/>
            <family val="2"/>
          </rPr>
          <t xml:space="preserve"> contenga el valor </t>
        </r>
        <r>
          <rPr>
            <b/>
            <sz val="9"/>
            <color indexed="81"/>
            <rFont val="Tahoma"/>
            <family val="2"/>
          </rPr>
          <t>Autovalente Sin Riesgo</t>
        </r>
        <r>
          <rPr>
            <sz val="9"/>
            <color indexed="81"/>
            <rFont val="Tahoma"/>
            <family val="2"/>
          </rPr>
          <t xml:space="preserve">.
Y además Para pacientes Mayores de 65 Años debe tener Formulario </t>
        </r>
        <r>
          <rPr>
            <b/>
            <sz val="9"/>
            <color indexed="81"/>
            <rFont val="Tahoma"/>
            <family val="2"/>
          </rPr>
          <t>"EMP - Examen de Medicina Preventiva" se registre en el campo Estado del examen, el valor: EMP Vigente Informado, que el Campo Fecha Próximo Control contenga una fecha aproximada a su próxima citación a control y en la sección Evaluacion Funcional en el campo RESULTADO EFAM PARTE "B" registre PERSONA AUTOVALENTE SIN RIESGO</t>
        </r>
        <r>
          <rPr>
            <sz val="9"/>
            <color indexed="81"/>
            <rFont val="Tahoma"/>
            <family val="2"/>
          </rPr>
          <t xml:space="preserve">
</t>
        </r>
        <r>
          <rPr>
            <b/>
            <sz val="9"/>
            <color indexed="81"/>
            <rFont val="Tahoma"/>
            <family val="2"/>
          </rPr>
          <t xml:space="preserve">Referencia Manual DEIS Serie P:
</t>
        </r>
        <r>
          <rPr>
            <sz val="9"/>
            <color indexed="81"/>
            <rFont val="Tahoma"/>
            <family val="2"/>
          </rPr>
          <t xml:space="preserve">"Se considera como población bajo control a todas las personas que tienen citación para médico, enfermera hasta un plazo máximo de inasistencia a su citación de 11 meses y 29 días a la fecha del corte, periodo durante el cual, se activa el sistema de </t>
        </r>
        <r>
          <rPr>
            <b/>
            <sz val="9"/>
            <color indexed="81"/>
            <rFont val="Tahoma"/>
            <family val="2"/>
          </rPr>
          <t>rescate de pacientes inasistentes</t>
        </r>
        <r>
          <rPr>
            <sz val="9"/>
            <color indexed="81"/>
            <rFont val="Tahoma"/>
            <family val="2"/>
          </rPr>
          <t>. 
Al pasar el plazo de inasistencia desde la última citación, se considera pasivo y deja su condición de
“población en control” por esta causa...</t>
        </r>
      </text>
    </comment>
    <comment ref="A27" authorId="0" shapeId="0" xr:uid="{6DEE5A46-A570-47F4-B64C-1E04B14E551C}">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Programa Más Adulto mayor Autovalente</t>
        </r>
        <r>
          <rPr>
            <sz val="9"/>
            <color indexed="81"/>
            <rFont val="Tahoma"/>
            <family val="2"/>
          </rPr>
          <t>, en la sección</t>
        </r>
        <r>
          <rPr>
            <b/>
            <sz val="9"/>
            <color indexed="81"/>
            <rFont val="Tahoma"/>
            <family val="2"/>
          </rPr>
          <t xml:space="preserve"> Datos al Ingreso</t>
        </r>
        <r>
          <rPr>
            <sz val="9"/>
            <color indexed="81"/>
            <rFont val="Tahoma"/>
            <family val="2"/>
          </rPr>
          <t xml:space="preserve"> en el campo  </t>
        </r>
        <r>
          <rPr>
            <b/>
            <sz val="9"/>
            <color indexed="81"/>
            <rFont val="Tahoma"/>
            <family val="2"/>
          </rPr>
          <t>Estado</t>
        </r>
        <r>
          <rPr>
            <sz val="9"/>
            <color indexed="81"/>
            <rFont val="Tahoma"/>
            <family val="2"/>
          </rPr>
          <t xml:space="preserve"> tenga el valor </t>
        </r>
        <r>
          <rPr>
            <b/>
            <sz val="9"/>
            <color indexed="81"/>
            <rFont val="Tahoma"/>
            <family val="2"/>
          </rPr>
          <t xml:space="preserve">Ingreso o Seguimiento </t>
        </r>
        <r>
          <rPr>
            <sz val="9"/>
            <color indexed="81"/>
            <rFont val="Tahoma"/>
            <family val="2"/>
          </rPr>
          <t xml:space="preserve">y en el campo </t>
        </r>
        <r>
          <rPr>
            <b/>
            <sz val="9"/>
            <color indexed="81"/>
            <rFont val="Tahoma"/>
            <family val="2"/>
          </rPr>
          <t>Funcionalidad al Ingreso</t>
        </r>
        <r>
          <rPr>
            <sz val="9"/>
            <color indexed="81"/>
            <rFont val="Tahoma"/>
            <family val="2"/>
          </rPr>
          <t xml:space="preserve"> contenga el valor </t>
        </r>
        <r>
          <rPr>
            <b/>
            <sz val="9"/>
            <color indexed="81"/>
            <rFont val="Tahoma"/>
            <family val="2"/>
          </rPr>
          <t>Autovalente con Riesgo</t>
        </r>
        <r>
          <rPr>
            <sz val="9"/>
            <color indexed="81"/>
            <rFont val="Tahoma"/>
            <family val="2"/>
          </rPr>
          <t xml:space="preserve">.
Y además Para pacientes Mayores de 65 Años debe tener Formulario </t>
        </r>
        <r>
          <rPr>
            <b/>
            <sz val="9"/>
            <color indexed="81"/>
            <rFont val="Tahoma"/>
            <family val="2"/>
          </rPr>
          <t>"EMP - Examen de Medicina Preventiva" se registre en el campo Estado del examen, el valor: EMP Vigente Informado, que el Campo Fecha Próximo Control contenga una fecha aproximada a su próxima citación a control y en la sección Evaluacion Funcional en el campo RESULTADO EFAM PARTE "B" registre PERSONA AUTOVALENTE CON RIESGO
Referencia Manual DEIS Serie P</t>
        </r>
        <r>
          <rPr>
            <sz val="9"/>
            <color indexed="81"/>
            <rFont val="Tahoma"/>
            <family val="2"/>
          </rPr>
          <t>: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28" authorId="0" shapeId="0" xr:uid="{84A80D58-CC16-4282-907E-97116F9416DF}">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 xml:space="preserve">Agregar Documentos a una Atención </t>
        </r>
        <r>
          <rPr>
            <sz val="9"/>
            <color indexed="81"/>
            <rFont val="Tahoma"/>
            <family val="2"/>
          </rPr>
          <t>y en el  Formulario</t>
        </r>
        <r>
          <rPr>
            <b/>
            <sz val="9"/>
            <color indexed="81"/>
            <rFont val="Tahoma"/>
            <family val="2"/>
          </rPr>
          <t xml:space="preserve"> Programa Más Adulto mayor Autovalente</t>
        </r>
        <r>
          <rPr>
            <sz val="9"/>
            <color indexed="81"/>
            <rFont val="Tahoma"/>
            <family val="2"/>
          </rPr>
          <t>, en la sección</t>
        </r>
        <r>
          <rPr>
            <b/>
            <sz val="9"/>
            <color indexed="81"/>
            <rFont val="Tahoma"/>
            <family val="2"/>
          </rPr>
          <t xml:space="preserve"> Datos al Ingreso </t>
        </r>
        <r>
          <rPr>
            <sz val="9"/>
            <color indexed="81"/>
            <rFont val="Tahoma"/>
            <family val="2"/>
          </rPr>
          <t xml:space="preserve">en el campo  </t>
        </r>
        <r>
          <rPr>
            <b/>
            <sz val="9"/>
            <color indexed="81"/>
            <rFont val="Tahoma"/>
            <family val="2"/>
          </rPr>
          <t xml:space="preserve">Estado </t>
        </r>
        <r>
          <rPr>
            <sz val="9"/>
            <color indexed="81"/>
            <rFont val="Tahoma"/>
            <family val="2"/>
          </rPr>
          <t xml:space="preserve">tenga el valor </t>
        </r>
        <r>
          <rPr>
            <b/>
            <sz val="9"/>
            <color indexed="81"/>
            <rFont val="Tahoma"/>
            <family val="2"/>
          </rPr>
          <t>Ingreso o Seguimiento</t>
        </r>
        <r>
          <rPr>
            <sz val="9"/>
            <color indexed="81"/>
            <rFont val="Tahoma"/>
            <family val="2"/>
          </rPr>
          <t xml:space="preserve"> y en el campo</t>
        </r>
        <r>
          <rPr>
            <b/>
            <sz val="9"/>
            <color indexed="81"/>
            <rFont val="Tahoma"/>
            <family val="2"/>
          </rPr>
          <t xml:space="preserve"> Funcionalidad al Ingreso</t>
        </r>
        <r>
          <rPr>
            <sz val="9"/>
            <color indexed="81"/>
            <rFont val="Tahoma"/>
            <family val="2"/>
          </rPr>
          <t xml:space="preserve"> contenga el valor </t>
        </r>
        <r>
          <rPr>
            <b/>
            <sz val="9"/>
            <color indexed="81"/>
            <rFont val="Tahoma"/>
            <family val="2"/>
          </rPr>
          <t>Riesgo de Dependencia</t>
        </r>
        <r>
          <rPr>
            <sz val="9"/>
            <color indexed="81"/>
            <rFont val="Tahoma"/>
            <family val="2"/>
          </rPr>
          <t xml:space="preserve">.
Y además Para pacientes Mayores de 65 Años debe tener </t>
        </r>
        <r>
          <rPr>
            <b/>
            <sz val="9"/>
            <color indexed="81"/>
            <rFont val="Tahoma"/>
            <family val="2"/>
          </rPr>
          <t>Formulario "EMP - Examen de Medicina Preventiva" se registre en el campo Estado del examen, el valor: EMP Vigente Informado, que el Campo Fecha Próximo Control contenga una fecha aproximada a su próxima citación a control y en la sección Evaluacion Funcional en el campo RESULTADO EFAM PARTE "A" registre RIESGO DE DEPENDENCIA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V31" authorId="0" shapeId="0" xr:uid="{F95AD9E7-4ED4-4A69-AF0F-2EC0A0416DA6}">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X31" authorId="0" shapeId="0" xr:uid="{3E30819D-A414-416B-BB55-30706CEA2C6A}">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Z31" authorId="0" shapeId="0" xr:uid="{0C8F54FB-96A9-4E52-98EE-45F102204A67}">
      <text>
        <r>
          <rPr>
            <sz val="9"/>
            <color indexed="81"/>
            <rFont val="Tahoma"/>
            <family val="2"/>
          </rPr>
          <t xml:space="preserve">Contabiliza los pacientes bajo control, inscritos y que en el </t>
        </r>
        <r>
          <rPr>
            <b/>
            <sz val="9"/>
            <color indexed="81"/>
            <rFont val="Tahoma"/>
            <family val="2"/>
          </rPr>
          <t>Módulo Admisión/Inscripción Item Alertas Administrativa</t>
        </r>
        <r>
          <rPr>
            <sz val="9"/>
            <color indexed="81"/>
            <rFont val="Tahoma"/>
            <family val="2"/>
          </rPr>
          <t>s marque alguno de los campos</t>
        </r>
        <r>
          <rPr>
            <b/>
            <sz val="9"/>
            <color indexed="81"/>
            <rFont val="Tahoma"/>
            <family val="2"/>
          </rPr>
          <t>"Población ELEAM</t>
        </r>
        <r>
          <rPr>
            <sz val="9"/>
            <color indexed="81"/>
            <rFont val="Tahoma"/>
            <family val="2"/>
          </rPr>
          <t>" o "</t>
        </r>
        <r>
          <rPr>
            <b/>
            <sz val="9"/>
            <color indexed="81"/>
            <rFont val="Tahoma"/>
            <family val="2"/>
          </rPr>
          <t>Población ELEAM Institucionalizada".</t>
        </r>
      </text>
    </comment>
    <comment ref="A34" authorId="0" shapeId="0" xr:uid="{E54DC037-6999-47BF-B9D3-5CF66F4896A8}">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 xml:space="preserve"> Agregar Documentos a una Atención</t>
        </r>
        <r>
          <rPr>
            <sz val="9"/>
            <color indexed="81"/>
            <rFont val="Tahoma"/>
            <family val="2"/>
          </rPr>
          <t xml:space="preserve">
y en  el Formulario</t>
        </r>
        <r>
          <rPr>
            <b/>
            <sz val="9"/>
            <color indexed="81"/>
            <rFont val="Tahoma"/>
            <family val="2"/>
          </rPr>
          <t xml:space="preserve"> emp - examen de medicina preventiva</t>
        </r>
        <r>
          <rPr>
            <sz val="9"/>
            <color indexed="81"/>
            <rFont val="Tahoma"/>
            <family val="2"/>
          </rPr>
          <t xml:space="preserve"> y en sección </t>
        </r>
        <r>
          <rPr>
            <b/>
            <sz val="9"/>
            <color indexed="81"/>
            <rFont val="Tahoma"/>
            <family val="2"/>
          </rPr>
          <t>EMP EN PERSONAS MAYORES (65 AÑOS o más)</t>
        </r>
        <r>
          <rPr>
            <sz val="9"/>
            <color indexed="81"/>
            <rFont val="Tahoma"/>
            <family val="2"/>
          </rPr>
          <t xml:space="preserve"> tenga en el  campo</t>
        </r>
        <r>
          <rPr>
            <b/>
            <sz val="9"/>
            <color indexed="81"/>
            <rFont val="Tahoma"/>
            <family val="2"/>
          </rPr>
          <t xml:space="preserve"> Estado del Paciente </t>
        </r>
        <r>
          <rPr>
            <sz val="9"/>
            <color indexed="81"/>
            <rFont val="Tahoma"/>
            <family val="2"/>
          </rPr>
          <t xml:space="preserve">tenga el valor </t>
        </r>
        <r>
          <rPr>
            <b/>
            <sz val="9"/>
            <color indexed="81"/>
            <rFont val="Tahoma"/>
            <family val="2"/>
          </rPr>
          <t xml:space="preserve">Ingreso o Seguimiento </t>
        </r>
        <r>
          <rPr>
            <sz val="9"/>
            <color indexed="81"/>
            <rFont val="Tahoma"/>
            <family val="2"/>
          </rPr>
          <t xml:space="preserve">y  que el Campo </t>
        </r>
        <r>
          <rPr>
            <b/>
            <sz val="9"/>
            <color indexed="81"/>
            <rFont val="Tahoma"/>
            <family val="2"/>
          </rPr>
          <t xml:space="preserve">Fecha Próximo Control </t>
        </r>
        <r>
          <rPr>
            <sz val="9"/>
            <color indexed="81"/>
            <rFont val="Tahoma"/>
            <family val="2"/>
          </rPr>
          <t>contenga una</t>
        </r>
        <r>
          <rPr>
            <b/>
            <sz val="9"/>
            <color indexed="81"/>
            <rFont val="Tahoma"/>
            <family val="2"/>
          </rPr>
          <t xml:space="preserve"> fecha aproximada a su próxima citación a control</t>
        </r>
        <r>
          <rPr>
            <sz val="9"/>
            <color indexed="81"/>
            <rFont val="Tahoma"/>
            <family val="2"/>
          </rPr>
          <t xml:space="preserve">
y Ademas tenga como resultado en el Campo </t>
        </r>
        <r>
          <rPr>
            <b/>
            <sz val="9"/>
            <color indexed="81"/>
            <rFont val="Tahoma"/>
            <family val="2"/>
          </rPr>
          <t>Calificación nutricional según IMC</t>
        </r>
        <r>
          <rPr>
            <sz val="9"/>
            <color indexed="81"/>
            <rFont val="Tahoma"/>
            <family val="2"/>
          </rPr>
          <t xml:space="preserve"> el valo</t>
        </r>
        <r>
          <rPr>
            <b/>
            <sz val="9"/>
            <color indexed="81"/>
            <rFont val="Tahoma"/>
            <family val="2"/>
          </rPr>
          <t>r Bajo Peso.</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
</t>
        </r>
      </text>
    </comment>
    <comment ref="A35" authorId="0" shapeId="0" xr:uid="{4972284D-F283-45A4-B41E-A924B09C8C63}">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t>
        </r>
        <r>
          <rPr>
            <b/>
            <sz val="9"/>
            <color indexed="81"/>
            <rFont val="Tahoma"/>
            <family val="2"/>
          </rPr>
          <t>l Módulo Box - Pacientes Citados</t>
        </r>
        <r>
          <rPr>
            <sz val="9"/>
            <color indexed="81"/>
            <rFont val="Tahoma"/>
            <family val="2"/>
          </rPr>
          <t xml:space="preserve"> o en  </t>
        </r>
        <r>
          <rPr>
            <b/>
            <sz val="9"/>
            <color indexed="81"/>
            <rFont val="Tahoma"/>
            <family val="2"/>
          </rPr>
          <t xml:space="preserve">Agregar Documentos a una Atención
</t>
        </r>
        <r>
          <rPr>
            <sz val="9"/>
            <color indexed="81"/>
            <rFont val="Tahoma"/>
            <family val="2"/>
          </rPr>
          <t xml:space="preserve">
y en  el Formulario </t>
        </r>
        <r>
          <rPr>
            <b/>
            <sz val="9"/>
            <color indexed="81"/>
            <rFont val="Tahoma"/>
            <family val="2"/>
          </rPr>
          <t>emp - examen de medicina preventiva</t>
        </r>
        <r>
          <rPr>
            <sz val="9"/>
            <color indexed="81"/>
            <rFont val="Tahoma"/>
            <family val="2"/>
          </rPr>
          <t xml:space="preserve"> y en sección </t>
        </r>
        <r>
          <rPr>
            <b/>
            <sz val="9"/>
            <color indexed="81"/>
            <rFont val="Tahoma"/>
            <family val="2"/>
          </rPr>
          <t>EMP EN PERSONAS MAYORES (65 AÑOS o más)</t>
        </r>
        <r>
          <rPr>
            <sz val="9"/>
            <color indexed="81"/>
            <rFont val="Tahoma"/>
            <family val="2"/>
          </rPr>
          <t xml:space="preserve"> tenga en el  campo </t>
        </r>
        <r>
          <rPr>
            <b/>
            <sz val="9"/>
            <color indexed="81"/>
            <rFont val="Tahoma"/>
            <family val="2"/>
          </rPr>
          <t>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 </t>
        </r>
        <r>
          <rPr>
            <b/>
            <sz val="9"/>
            <color indexed="81"/>
            <rFont val="Tahoma"/>
            <family val="2"/>
          </rPr>
          <t>Fecha Próximo Control</t>
        </r>
        <r>
          <rPr>
            <sz val="9"/>
            <color indexed="81"/>
            <rFont val="Tahoma"/>
            <family val="2"/>
          </rPr>
          <t xml:space="preserve"> contenga una fecha aproximada a su próxima citación a control
y Ademas tenga como resultado en el Campo </t>
        </r>
        <r>
          <rPr>
            <b/>
            <sz val="9"/>
            <color indexed="81"/>
            <rFont val="Tahoma"/>
            <family val="2"/>
          </rPr>
          <t xml:space="preserve">Calificación nutricional según IMC </t>
        </r>
        <r>
          <rPr>
            <sz val="9"/>
            <color indexed="81"/>
            <rFont val="Tahoma"/>
            <family val="2"/>
          </rPr>
          <t xml:space="preserve">el valor </t>
        </r>
        <r>
          <rPr>
            <b/>
            <sz val="9"/>
            <color indexed="81"/>
            <rFont val="Tahoma"/>
            <family val="2"/>
          </rPr>
          <t>Normal.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36" authorId="0" shapeId="0" xr:uid="{0C3ED7E4-2018-4B54-B1A5-026F4A05FC4C}">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 xml:space="preserve">Agregar Documentos a una Atención
</t>
        </r>
        <r>
          <rPr>
            <sz val="9"/>
            <color indexed="81"/>
            <rFont val="Tahoma"/>
            <family val="2"/>
          </rPr>
          <t xml:space="preserve">
y en  el Formulario </t>
        </r>
        <r>
          <rPr>
            <b/>
            <sz val="9"/>
            <color indexed="81"/>
            <rFont val="Tahoma"/>
            <family val="2"/>
          </rPr>
          <t>emp - examen de medicina preventiva</t>
        </r>
        <r>
          <rPr>
            <sz val="9"/>
            <color indexed="81"/>
            <rFont val="Tahoma"/>
            <family val="2"/>
          </rPr>
          <t xml:space="preserve"> y en sección</t>
        </r>
        <r>
          <rPr>
            <b/>
            <sz val="9"/>
            <color indexed="81"/>
            <rFont val="Tahoma"/>
            <family val="2"/>
          </rPr>
          <t xml:space="preserve"> EMP EN PERSONAS MAYORES (65 AÑOS o más) </t>
        </r>
        <r>
          <rPr>
            <sz val="9"/>
            <color indexed="81"/>
            <rFont val="Tahoma"/>
            <family val="2"/>
          </rPr>
          <t xml:space="preserve">tenga en el  campo </t>
        </r>
        <r>
          <rPr>
            <b/>
            <sz val="9"/>
            <color indexed="81"/>
            <rFont val="Tahoma"/>
            <family val="2"/>
          </rPr>
          <t>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 </t>
        </r>
        <r>
          <rPr>
            <b/>
            <sz val="9"/>
            <color indexed="81"/>
            <rFont val="Tahoma"/>
            <family val="2"/>
          </rPr>
          <t>Fecha Próximo Control</t>
        </r>
        <r>
          <rPr>
            <sz val="9"/>
            <color indexed="81"/>
            <rFont val="Tahoma"/>
            <family val="2"/>
          </rPr>
          <t xml:space="preserve"> contenga una fecha aproximada a su próxima citación a control
y Ademas tenga como resultado en el </t>
        </r>
        <r>
          <rPr>
            <b/>
            <sz val="9"/>
            <color indexed="81"/>
            <rFont val="Tahoma"/>
            <family val="2"/>
          </rPr>
          <t>Campo Calificación nutricional según IMC</t>
        </r>
        <r>
          <rPr>
            <sz val="9"/>
            <color indexed="81"/>
            <rFont val="Tahoma"/>
            <family val="2"/>
          </rPr>
          <t xml:space="preserve"> el valor  </t>
        </r>
        <r>
          <rPr>
            <b/>
            <sz val="9"/>
            <color indexed="81"/>
            <rFont val="Tahoma"/>
            <family val="2"/>
          </rPr>
          <t>Sobrepeso.</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37" authorId="0" shapeId="0" xr:uid="{D4FC7EB0-A0FF-4DD2-B74E-6E1255593AE9}">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emp - examen de medicina preventiva </t>
        </r>
        <r>
          <rPr>
            <sz val="9"/>
            <color indexed="81"/>
            <rFont val="Tahoma"/>
            <family val="2"/>
          </rPr>
          <t xml:space="preserve">y en sección </t>
        </r>
        <r>
          <rPr>
            <b/>
            <sz val="9"/>
            <color indexed="81"/>
            <rFont val="Tahoma"/>
            <family val="2"/>
          </rPr>
          <t>EMP EN PERSONAS MAYORES (65 AÑOS o más)</t>
        </r>
        <r>
          <rPr>
            <sz val="9"/>
            <color indexed="81"/>
            <rFont val="Tahoma"/>
            <family val="2"/>
          </rPr>
          <t xml:space="preserve"> tenga en el  campo </t>
        </r>
        <r>
          <rPr>
            <b/>
            <sz val="9"/>
            <color indexed="81"/>
            <rFont val="Tahoma"/>
            <family val="2"/>
          </rPr>
          <t xml:space="preserve">Estado del Paciente </t>
        </r>
        <r>
          <rPr>
            <sz val="9"/>
            <color indexed="81"/>
            <rFont val="Tahoma"/>
            <family val="2"/>
          </rPr>
          <t xml:space="preserve">tenga el valor </t>
        </r>
        <r>
          <rPr>
            <b/>
            <sz val="9"/>
            <color indexed="81"/>
            <rFont val="Tahoma"/>
            <family val="2"/>
          </rPr>
          <t>Ingreso o Seguimiento</t>
        </r>
        <r>
          <rPr>
            <sz val="9"/>
            <color indexed="81"/>
            <rFont val="Tahoma"/>
            <family val="2"/>
          </rPr>
          <t xml:space="preserve"> y  que el Campo </t>
        </r>
        <r>
          <rPr>
            <b/>
            <sz val="9"/>
            <color indexed="81"/>
            <rFont val="Tahoma"/>
            <family val="2"/>
          </rPr>
          <t xml:space="preserve">Fecha Próximo </t>
        </r>
        <r>
          <rPr>
            <sz val="9"/>
            <color indexed="81"/>
            <rFont val="Tahoma"/>
            <family val="2"/>
          </rPr>
          <t xml:space="preserve">Control contenga una fecha aproximada a su próxima citación a control
y Ademas tenga como resultado en el Campo </t>
        </r>
        <r>
          <rPr>
            <b/>
            <sz val="9"/>
            <color indexed="81"/>
            <rFont val="Tahoma"/>
            <family val="2"/>
          </rPr>
          <t xml:space="preserve">Calificación nutricional según IMC </t>
        </r>
        <r>
          <rPr>
            <sz val="9"/>
            <color indexed="81"/>
            <rFont val="Tahoma"/>
            <family val="2"/>
          </rPr>
          <t xml:space="preserve">el valor </t>
        </r>
        <r>
          <rPr>
            <b/>
            <sz val="9"/>
            <color indexed="81"/>
            <rFont val="Tahoma"/>
            <family val="2"/>
          </rPr>
          <t>Obeso(a)</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V40" authorId="0" shapeId="0" xr:uid="{20302CC1-9CC2-4B05-92E1-BE2AA3570722}">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X40" authorId="0" shapeId="0" xr:uid="{46D4E2E2-B042-412A-AA55-783C7C856498}">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Z40" authorId="0" shapeId="0" xr:uid="{A44CC109-52CF-4631-A8AD-D8B84FDDB5FF}">
      <text>
        <r>
          <rPr>
            <sz val="9"/>
            <color indexed="81"/>
            <rFont val="Tahoma"/>
            <family val="2"/>
          </rPr>
          <t xml:space="preserve">Contabiliza los pacientes bajo control, inscritos y que en el </t>
        </r>
        <r>
          <rPr>
            <b/>
            <sz val="9"/>
            <color indexed="81"/>
            <rFont val="Tahoma"/>
            <family val="2"/>
          </rPr>
          <t>Módulo Admisión/Inscripción Item Alertas Administrativa</t>
        </r>
        <r>
          <rPr>
            <sz val="9"/>
            <color indexed="81"/>
            <rFont val="Tahoma"/>
            <family val="2"/>
          </rPr>
          <t>s marque alguno de los campos</t>
        </r>
        <r>
          <rPr>
            <b/>
            <sz val="9"/>
            <color indexed="81"/>
            <rFont val="Tahoma"/>
            <family val="2"/>
          </rPr>
          <t>"Población ELEAM</t>
        </r>
        <r>
          <rPr>
            <sz val="9"/>
            <color indexed="81"/>
            <rFont val="Tahoma"/>
            <family val="2"/>
          </rPr>
          <t>" o "</t>
        </r>
        <r>
          <rPr>
            <b/>
            <sz val="9"/>
            <color indexed="81"/>
            <rFont val="Tahoma"/>
            <family val="2"/>
          </rPr>
          <t>Población ELEAM Institucionalizada".</t>
        </r>
      </text>
    </comment>
    <comment ref="A43" authorId="0" shapeId="0" xr:uid="{C01141CB-CA1B-43A3-B4EC-293938344D33}">
      <text>
        <r>
          <rPr>
            <sz val="9"/>
            <color indexed="81"/>
            <rFont val="Tahoma"/>
            <family val="2"/>
          </rPr>
          <t>Se considerara como</t>
        </r>
        <r>
          <rPr>
            <b/>
            <sz val="9"/>
            <color indexed="81"/>
            <rFont val="Tahoma"/>
            <family val="2"/>
          </rPr>
          <t xml:space="preserve"> 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emp - examen de medicina preventiva) </t>
        </r>
        <r>
          <rPr>
            <sz val="9"/>
            <color indexed="81"/>
            <rFont val="Tahoma"/>
            <family val="2"/>
          </rPr>
          <t>y  en sección</t>
        </r>
        <r>
          <rPr>
            <b/>
            <sz val="9"/>
            <color indexed="81"/>
            <rFont val="Tahoma"/>
            <family val="2"/>
          </rPr>
          <t xml:space="preserve"> EMP EN PERSONAS MAYORES (65 AÑOS o más)</t>
        </r>
        <r>
          <rPr>
            <sz val="9"/>
            <color indexed="81"/>
            <rFont val="Tahoma"/>
            <family val="2"/>
          </rPr>
          <t xml:space="preserve">  tenga en el  campo </t>
        </r>
        <r>
          <rPr>
            <b/>
            <sz val="9"/>
            <color indexed="81"/>
            <rFont val="Tahoma"/>
            <family val="2"/>
          </rPr>
          <t>Estado del Paciente</t>
        </r>
        <r>
          <rPr>
            <sz val="9"/>
            <color indexed="81"/>
            <rFont val="Tahoma"/>
            <family val="2"/>
          </rPr>
          <t xml:space="preserve"> tenga el valor</t>
        </r>
        <r>
          <rPr>
            <b/>
            <sz val="9"/>
            <color indexed="81"/>
            <rFont val="Tahoma"/>
            <family val="2"/>
          </rPr>
          <t xml:space="preserve"> Ingreso o Seguimiento</t>
        </r>
        <r>
          <rPr>
            <sz val="9"/>
            <color indexed="81"/>
            <rFont val="Tahoma"/>
            <family val="2"/>
          </rPr>
          <t xml:space="preserve"> y  que el Campo</t>
        </r>
        <r>
          <rPr>
            <b/>
            <sz val="9"/>
            <color indexed="81"/>
            <rFont val="Tahoma"/>
            <family val="2"/>
          </rPr>
          <t xml:space="preserve"> Fecha Próximo Control </t>
        </r>
        <r>
          <rPr>
            <sz val="9"/>
            <color indexed="81"/>
            <rFont val="Tahoma"/>
            <family val="2"/>
          </rPr>
          <t>contenga una</t>
        </r>
        <r>
          <rPr>
            <b/>
            <sz val="9"/>
            <color indexed="81"/>
            <rFont val="Tahoma"/>
            <family val="2"/>
          </rPr>
          <t xml:space="preserve"> fecha aproximada a su próxima citación a control
</t>
        </r>
        <r>
          <rPr>
            <sz val="9"/>
            <color indexed="81"/>
            <rFont val="Tahoma"/>
            <family val="2"/>
          </rPr>
          <t xml:space="preserve">
y además </t>
        </r>
        <r>
          <rPr>
            <b/>
            <sz val="9"/>
            <color indexed="81"/>
            <rFont val="Tahoma"/>
            <family val="2"/>
          </rPr>
          <t xml:space="preserve"> </t>
        </r>
        <r>
          <rPr>
            <sz val="9"/>
            <color indexed="81"/>
            <rFont val="Tahoma"/>
            <family val="2"/>
          </rPr>
          <t xml:space="preserve">en el campo </t>
        </r>
        <r>
          <rPr>
            <b/>
            <sz val="9"/>
            <color indexed="81"/>
            <rFont val="Tahoma"/>
            <family val="2"/>
          </rPr>
          <t xml:space="preserve">Sospecha de Maltrato </t>
        </r>
        <r>
          <rPr>
            <sz val="9"/>
            <color indexed="81"/>
            <rFont val="Tahoma"/>
            <family val="2"/>
          </rPr>
          <t xml:space="preserve">el valor </t>
        </r>
        <r>
          <rPr>
            <b/>
            <sz val="9"/>
            <color indexed="81"/>
            <rFont val="Tahoma"/>
            <family val="2"/>
          </rPr>
          <t xml:space="preserve">SI.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V45" authorId="0" shapeId="0" xr:uid="{FC100D81-A664-4ECB-AEC9-094B43892738}">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X45" authorId="0" shapeId="0" xr:uid="{2845ADD2-08B6-44E5-AD90-2E942994F484}">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Z45" authorId="0" shapeId="0" xr:uid="{93914796-23C1-4591-9160-951C6C0E6DE5}">
      <text>
        <r>
          <rPr>
            <sz val="9"/>
            <color indexed="81"/>
            <rFont val="Tahoma"/>
            <family val="2"/>
          </rPr>
          <t xml:space="preserve">Contabiliza los pacientes bajo control, inscritos y que en el </t>
        </r>
        <r>
          <rPr>
            <b/>
            <sz val="9"/>
            <color indexed="81"/>
            <rFont val="Tahoma"/>
            <family val="2"/>
          </rPr>
          <t>Módulo Admisión/Inscripción Item Alertas Administrativa</t>
        </r>
        <r>
          <rPr>
            <sz val="9"/>
            <color indexed="81"/>
            <rFont val="Tahoma"/>
            <family val="2"/>
          </rPr>
          <t>s marque alguno de los campos</t>
        </r>
        <r>
          <rPr>
            <b/>
            <sz val="9"/>
            <color indexed="81"/>
            <rFont val="Tahoma"/>
            <family val="2"/>
          </rPr>
          <t>"Población ELEAM</t>
        </r>
        <r>
          <rPr>
            <sz val="9"/>
            <color indexed="81"/>
            <rFont val="Tahoma"/>
            <family val="2"/>
          </rPr>
          <t>" o "</t>
        </r>
        <r>
          <rPr>
            <b/>
            <sz val="9"/>
            <color indexed="81"/>
            <rFont val="Tahoma"/>
            <family val="2"/>
          </rPr>
          <t>Población ELEAM Institucionalizada".</t>
        </r>
      </text>
    </comment>
    <comment ref="A48" authorId="0" shapeId="0" xr:uid="{B69EC2DF-6069-41BB-AC5B-CC53563A8328}">
      <text>
        <r>
          <rPr>
            <sz val="9"/>
            <color indexed="81"/>
            <rFont val="Tahoma"/>
            <family val="2"/>
          </rPr>
          <t xml:space="preserve">Se considerara como </t>
        </r>
        <r>
          <rPr>
            <b/>
            <sz val="9"/>
            <color indexed="81"/>
            <rFont val="Tahoma"/>
            <family val="2"/>
          </rPr>
          <t xml:space="preserve">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 xml:space="preserve">Agregar Documentos a una Atención
</t>
        </r>
        <r>
          <rPr>
            <sz val="9"/>
            <color indexed="81"/>
            <rFont val="Tahoma"/>
            <family val="2"/>
          </rPr>
          <t xml:space="preserve">y en  el </t>
        </r>
        <r>
          <rPr>
            <b/>
            <sz val="9"/>
            <color indexed="81"/>
            <rFont val="Tahoma"/>
            <family val="2"/>
          </rPr>
          <t>Formulario emp - examen de medicina preventiva)</t>
        </r>
        <r>
          <rPr>
            <sz val="9"/>
            <color indexed="81"/>
            <rFont val="Tahoma"/>
            <family val="2"/>
          </rPr>
          <t xml:space="preserve"> y  en sección </t>
        </r>
        <r>
          <rPr>
            <b/>
            <sz val="9"/>
            <color indexed="81"/>
            <rFont val="Tahoma"/>
            <family val="2"/>
          </rPr>
          <t>EMP EN PERSONAS MAYORES (65 AÑOS o más)</t>
        </r>
        <r>
          <rPr>
            <sz val="9"/>
            <color indexed="81"/>
            <rFont val="Tahoma"/>
            <family val="2"/>
          </rPr>
          <t xml:space="preserve">  tenga en el  campo Estado del Paciente tenga el valor </t>
        </r>
        <r>
          <rPr>
            <b/>
            <sz val="9"/>
            <color indexed="81"/>
            <rFont val="Tahoma"/>
            <family val="2"/>
          </rPr>
          <t>Ingreso o Seguimiento</t>
        </r>
        <r>
          <rPr>
            <sz val="9"/>
            <color indexed="81"/>
            <rFont val="Tahoma"/>
            <family val="2"/>
          </rPr>
          <t xml:space="preserve"> y  que el Campo </t>
        </r>
        <r>
          <rPr>
            <b/>
            <sz val="9"/>
            <color indexed="81"/>
            <rFont val="Tahoma"/>
            <family val="2"/>
          </rPr>
          <t>Fecha Próximo Control</t>
        </r>
        <r>
          <rPr>
            <sz val="9"/>
            <color indexed="81"/>
            <rFont val="Tahoma"/>
            <family val="2"/>
          </rPr>
          <t xml:space="preserve">  fecha aproximada a su proxima citación a control.
y además en el campo </t>
        </r>
        <r>
          <rPr>
            <b/>
            <sz val="9"/>
            <color indexed="81"/>
            <rFont val="Tahoma"/>
            <family val="2"/>
          </rPr>
          <t xml:space="preserve">Realiza Actividad Fisica </t>
        </r>
        <r>
          <rPr>
            <sz val="9"/>
            <color indexed="81"/>
            <rFont val="Tahoma"/>
            <family val="2"/>
          </rPr>
          <t>tenga el Valor</t>
        </r>
        <r>
          <rPr>
            <b/>
            <sz val="9"/>
            <color indexed="81"/>
            <rFont val="Tahoma"/>
            <family val="2"/>
          </rPr>
          <t xml:space="preserve"> SI.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causa..."0</t>
        </r>
      </text>
    </comment>
    <comment ref="V50" authorId="0" shapeId="0" xr:uid="{99C564BE-0B85-472D-84E9-6EFE35A2271B}">
      <text>
        <r>
          <rPr>
            <sz val="9"/>
            <color indexed="81"/>
            <rFont val="Tahoma"/>
            <family val="2"/>
          </rPr>
          <t>Contabiliza los pacientes bajo control y que en el Módulo Admisión/Inscripción en el campo</t>
        </r>
        <r>
          <rPr>
            <b/>
            <sz val="9"/>
            <color indexed="81"/>
            <rFont val="Tahoma"/>
            <family val="2"/>
          </rPr>
          <t xml:space="preserve"> " Pertenece a pueblo indigena" marque SI.</t>
        </r>
      </text>
    </comment>
    <comment ref="X50" authorId="0" shapeId="0" xr:uid="{AD6BE033-4AEA-4E8B-A353-121088E795B5}">
      <text>
        <r>
          <rPr>
            <sz val="9"/>
            <color indexed="81"/>
            <rFont val="Tahoma"/>
            <family val="2"/>
          </rPr>
          <t xml:space="preserve">Contabiliza los pacientes bajo control y que en el </t>
        </r>
        <r>
          <rPr>
            <b/>
            <sz val="9"/>
            <color indexed="81"/>
            <rFont val="Tahoma"/>
            <family val="2"/>
          </rPr>
          <t>Módulo Admisión/Inscripción</t>
        </r>
        <r>
          <rPr>
            <sz val="9"/>
            <color indexed="81"/>
            <rFont val="Tahoma"/>
            <family val="2"/>
          </rPr>
          <t xml:space="preserve"> Item Alertas Administrativas marque el campo</t>
        </r>
        <r>
          <rPr>
            <b/>
            <sz val="9"/>
            <color indexed="81"/>
            <rFont val="Tahoma"/>
            <family val="2"/>
          </rPr>
          <t xml:space="preserve"> "MIGRANTE".</t>
        </r>
      </text>
    </comment>
    <comment ref="Z50" authorId="0" shapeId="0" xr:uid="{FE052A20-CD06-4F42-846A-EDA1DE98F6B9}">
      <text>
        <r>
          <rPr>
            <sz val="9"/>
            <color indexed="81"/>
            <rFont val="Tahoma"/>
            <family val="2"/>
          </rPr>
          <t xml:space="preserve">Contabiliza los pacientes bajo control, inscritos y que en el </t>
        </r>
        <r>
          <rPr>
            <b/>
            <sz val="9"/>
            <color indexed="81"/>
            <rFont val="Tahoma"/>
            <family val="2"/>
          </rPr>
          <t>Módulo Admisión/Inscripción Item Alertas Administrativa</t>
        </r>
        <r>
          <rPr>
            <sz val="9"/>
            <color indexed="81"/>
            <rFont val="Tahoma"/>
            <family val="2"/>
          </rPr>
          <t>s marque alguno de los campos</t>
        </r>
        <r>
          <rPr>
            <b/>
            <sz val="9"/>
            <color indexed="81"/>
            <rFont val="Tahoma"/>
            <family val="2"/>
          </rPr>
          <t>"Población ELEAM</t>
        </r>
        <r>
          <rPr>
            <sz val="9"/>
            <color indexed="81"/>
            <rFont val="Tahoma"/>
            <family val="2"/>
          </rPr>
          <t>" o "</t>
        </r>
        <r>
          <rPr>
            <b/>
            <sz val="9"/>
            <color indexed="81"/>
            <rFont val="Tahoma"/>
            <family val="2"/>
          </rPr>
          <t>Población ELEAM Institucionalizada".</t>
        </r>
      </text>
    </comment>
    <comment ref="B53" authorId="0" shapeId="0" xr:uid="{FE29B8B0-6CE5-49D9-9687-D2A4AAB2E712}">
      <text>
        <r>
          <rPr>
            <sz val="9"/>
            <color indexed="81"/>
            <rFont val="Tahoma"/>
            <family val="2"/>
          </rPr>
          <t xml:space="preserve">Se considerara como </t>
        </r>
        <r>
          <rPr>
            <b/>
            <sz val="9"/>
            <color indexed="81"/>
            <rFont val="Tahoma"/>
            <family val="2"/>
          </rPr>
          <t xml:space="preserve">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emp - examen de medicina preventiva)</t>
        </r>
        <r>
          <rPr>
            <sz val="9"/>
            <color indexed="81"/>
            <rFont val="Tahoma"/>
            <family val="2"/>
          </rPr>
          <t xml:space="preserve"> y  en sección </t>
        </r>
        <r>
          <rPr>
            <b/>
            <sz val="9"/>
            <color indexed="81"/>
            <rFont val="Tahoma"/>
            <family val="2"/>
          </rPr>
          <t>EMP EN PERSONAS MAYORES (65 AÑOS o más)</t>
        </r>
        <r>
          <rPr>
            <sz val="9"/>
            <color indexed="81"/>
            <rFont val="Tahoma"/>
            <family val="2"/>
          </rPr>
          <t xml:space="preserve">  tenga en el  campo </t>
        </r>
        <r>
          <rPr>
            <b/>
            <sz val="9"/>
            <color indexed="81"/>
            <rFont val="Tahoma"/>
            <family val="2"/>
          </rPr>
          <t xml:space="preserve">Estado del Paciente </t>
        </r>
        <r>
          <rPr>
            <sz val="9"/>
            <color indexed="81"/>
            <rFont val="Tahoma"/>
            <family val="2"/>
          </rPr>
          <t xml:space="preserve">tenga el valor </t>
        </r>
        <r>
          <rPr>
            <b/>
            <sz val="9"/>
            <color indexed="81"/>
            <rFont val="Tahoma"/>
            <family val="2"/>
          </rPr>
          <t>Ingreso o Seguimiento</t>
        </r>
        <r>
          <rPr>
            <sz val="9"/>
            <color indexed="81"/>
            <rFont val="Tahoma"/>
            <family val="2"/>
          </rPr>
          <t xml:space="preserve"> y  que el Campo</t>
        </r>
        <r>
          <rPr>
            <b/>
            <sz val="9"/>
            <color indexed="81"/>
            <rFont val="Tahoma"/>
            <family val="2"/>
          </rPr>
          <t xml:space="preserve"> Fecha Próximo Control </t>
        </r>
        <r>
          <rPr>
            <sz val="9"/>
            <color indexed="81"/>
            <rFont val="Tahoma"/>
            <family val="2"/>
          </rPr>
          <t xml:space="preserve"> fecha aproximada a su proxima citación a control</t>
        </r>
        <r>
          <rPr>
            <b/>
            <sz val="9"/>
            <color indexed="81"/>
            <rFont val="Tahoma"/>
            <family val="2"/>
          </rPr>
          <t xml:space="preserve">
</t>
        </r>
        <r>
          <rPr>
            <sz val="9"/>
            <color indexed="81"/>
            <rFont val="Tahoma"/>
            <family val="2"/>
          </rPr>
          <t>y además</t>
        </r>
        <r>
          <rPr>
            <b/>
            <sz val="9"/>
            <color indexed="81"/>
            <rFont val="Tahoma"/>
            <family val="2"/>
          </rPr>
          <t xml:space="preserve"> </t>
        </r>
        <r>
          <rPr>
            <sz val="9"/>
            <color indexed="81"/>
            <rFont val="Tahoma"/>
            <family val="2"/>
          </rPr>
          <t xml:space="preserve">en el Campo </t>
        </r>
        <r>
          <rPr>
            <b/>
            <sz val="9"/>
            <color indexed="81"/>
            <rFont val="Tahoma"/>
            <family val="2"/>
          </rPr>
          <t xml:space="preserve">Resultado del Time UP and GO </t>
        </r>
        <r>
          <rPr>
            <sz val="9"/>
            <color indexed="81"/>
            <rFont val="Tahoma"/>
            <family val="2"/>
          </rPr>
          <t>el valor</t>
        </r>
        <r>
          <rPr>
            <b/>
            <sz val="9"/>
            <color indexed="81"/>
            <rFont val="Tahoma"/>
            <family val="2"/>
          </rPr>
          <t xml:space="preserve"> igual o menor a 10 </t>
        </r>
        <r>
          <rPr>
            <sz val="9"/>
            <color indexed="81"/>
            <rFont val="Tahoma"/>
            <family val="2"/>
          </rPr>
          <t>que corresponde a</t>
        </r>
        <r>
          <rPr>
            <b/>
            <sz val="9"/>
            <color indexed="81"/>
            <rFont val="Tahoma"/>
            <family val="2"/>
          </rPr>
          <t xml:space="preserve"> Normal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4" authorId="0" shapeId="0" xr:uid="{7A80E593-F3B3-477E-9BF2-723CC8EA36FB}">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t>
        </r>
        <r>
          <rPr>
            <b/>
            <sz val="9"/>
            <color indexed="81"/>
            <rFont val="Tahoma"/>
            <family val="2"/>
          </rPr>
          <t>l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 xml:space="preserve">
y en  el Formulario </t>
        </r>
        <r>
          <rPr>
            <b/>
            <sz val="9"/>
            <color indexed="81"/>
            <rFont val="Tahoma"/>
            <family val="2"/>
          </rPr>
          <t>emp - examen de medicina preventiva)</t>
        </r>
        <r>
          <rPr>
            <sz val="9"/>
            <color indexed="81"/>
            <rFont val="Tahoma"/>
            <family val="2"/>
          </rPr>
          <t xml:space="preserve"> y  en sección</t>
        </r>
        <r>
          <rPr>
            <b/>
            <sz val="9"/>
            <color indexed="81"/>
            <rFont val="Tahoma"/>
            <family val="2"/>
          </rPr>
          <t xml:space="preserve"> EMP EN PERSONAS MAYORES (65 AÑOS o más)</t>
        </r>
        <r>
          <rPr>
            <sz val="9"/>
            <color indexed="81"/>
            <rFont val="Tahoma"/>
            <family val="2"/>
          </rPr>
          <t xml:space="preserve">  tenga en el  campo </t>
        </r>
        <r>
          <rPr>
            <b/>
            <sz val="9"/>
            <color indexed="81"/>
            <rFont val="Tahoma"/>
            <family val="2"/>
          </rPr>
          <t xml:space="preserve">Estado del Paciente </t>
        </r>
        <r>
          <rPr>
            <sz val="9"/>
            <color indexed="81"/>
            <rFont val="Tahoma"/>
            <family val="2"/>
          </rPr>
          <t xml:space="preserve">tenga el valor </t>
        </r>
        <r>
          <rPr>
            <b/>
            <sz val="9"/>
            <color indexed="81"/>
            <rFont val="Tahoma"/>
            <family val="2"/>
          </rPr>
          <t>Ingreso o Seguimiento</t>
        </r>
        <r>
          <rPr>
            <sz val="9"/>
            <color indexed="81"/>
            <rFont val="Tahoma"/>
            <family val="2"/>
          </rPr>
          <t xml:space="preserve"> y  que el Campo </t>
        </r>
        <r>
          <rPr>
            <b/>
            <sz val="9"/>
            <color indexed="81"/>
            <rFont val="Tahoma"/>
            <family val="2"/>
          </rPr>
          <t xml:space="preserve">Fecha Próximo Control </t>
        </r>
        <r>
          <rPr>
            <sz val="9"/>
            <color indexed="81"/>
            <rFont val="Tahoma"/>
            <family val="2"/>
          </rPr>
          <t xml:space="preserve"> fecha aproximada a su proxima citación a control</t>
        </r>
        <r>
          <rPr>
            <b/>
            <sz val="9"/>
            <color indexed="81"/>
            <rFont val="Tahoma"/>
            <family val="2"/>
          </rPr>
          <t xml:space="preserve">
</t>
        </r>
        <r>
          <rPr>
            <sz val="9"/>
            <color indexed="81"/>
            <rFont val="Tahoma"/>
            <family val="2"/>
          </rPr>
          <t xml:space="preserve">
y además en el Campo</t>
        </r>
        <r>
          <rPr>
            <b/>
            <sz val="9"/>
            <color indexed="81"/>
            <rFont val="Tahoma"/>
            <family val="2"/>
          </rPr>
          <t xml:space="preserve"> Resultado del Time UP and GO </t>
        </r>
        <r>
          <rPr>
            <sz val="9"/>
            <color indexed="81"/>
            <rFont val="Tahoma"/>
            <family val="2"/>
          </rPr>
          <t xml:space="preserve">el valor entre </t>
        </r>
        <r>
          <rPr>
            <b/>
            <sz val="9"/>
            <color indexed="81"/>
            <rFont val="Tahoma"/>
            <family val="2"/>
          </rPr>
          <t xml:space="preserve">11 y 20 que corresponde a Leve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5" authorId="0" shapeId="0" xr:uid="{FC7E96A2-77ED-4FE0-B78B-74AC29DC7956}">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y en  el Formulario</t>
        </r>
        <r>
          <rPr>
            <b/>
            <sz val="9"/>
            <color indexed="81"/>
            <rFont val="Tahoma"/>
            <family val="2"/>
          </rPr>
          <t xml:space="preserve"> emp - examen de medicina preventiva</t>
        </r>
        <r>
          <rPr>
            <sz val="9"/>
            <color indexed="81"/>
            <rFont val="Tahoma"/>
            <family val="2"/>
          </rPr>
          <t xml:space="preserve"> y  en sección </t>
        </r>
        <r>
          <rPr>
            <b/>
            <sz val="9"/>
            <color indexed="81"/>
            <rFont val="Tahoma"/>
            <family val="2"/>
          </rPr>
          <t>EMP EN PERSONAS MAYORES (65 AÑOS o más)</t>
        </r>
        <r>
          <rPr>
            <sz val="9"/>
            <color indexed="81"/>
            <rFont val="Tahoma"/>
            <family val="2"/>
          </rPr>
          <t xml:space="preserve">  tenga en el  campo Estado del Paciente tenga el valor </t>
        </r>
        <r>
          <rPr>
            <b/>
            <sz val="9"/>
            <color indexed="81"/>
            <rFont val="Tahoma"/>
            <family val="2"/>
          </rPr>
          <t>Ingreso o Seguimiento</t>
        </r>
        <r>
          <rPr>
            <sz val="9"/>
            <color indexed="81"/>
            <rFont val="Tahoma"/>
            <family val="2"/>
          </rPr>
          <t xml:space="preserve"> y  que el Campo</t>
        </r>
        <r>
          <rPr>
            <b/>
            <sz val="9"/>
            <color indexed="81"/>
            <rFont val="Tahoma"/>
            <family val="2"/>
          </rPr>
          <t xml:space="preserve"> Fecha Próximo Control</t>
        </r>
        <r>
          <rPr>
            <sz val="9"/>
            <color indexed="81"/>
            <rFont val="Tahoma"/>
            <family val="2"/>
          </rPr>
          <t xml:space="preserve">  fecha aproximada a su proxima citación a control
y además</t>
        </r>
        <r>
          <rPr>
            <b/>
            <sz val="9"/>
            <color indexed="81"/>
            <rFont val="Tahoma"/>
            <family val="2"/>
          </rPr>
          <t xml:space="preserve"> </t>
        </r>
        <r>
          <rPr>
            <sz val="9"/>
            <color indexed="81"/>
            <rFont val="Tahoma"/>
            <family val="2"/>
          </rPr>
          <t xml:space="preserve">en el Campo </t>
        </r>
        <r>
          <rPr>
            <b/>
            <sz val="9"/>
            <color indexed="81"/>
            <rFont val="Tahoma"/>
            <family val="2"/>
          </rPr>
          <t xml:space="preserve">Resultado del Time UP and GO </t>
        </r>
        <r>
          <rPr>
            <sz val="9"/>
            <color indexed="81"/>
            <rFont val="Tahoma"/>
            <family val="2"/>
          </rPr>
          <t xml:space="preserve">el valor </t>
        </r>
        <r>
          <rPr>
            <b/>
            <sz val="9"/>
            <color indexed="81"/>
            <rFont val="Tahoma"/>
            <family val="2"/>
          </rPr>
          <t>mayor 20 que corresponde a Alto</t>
        </r>
      </text>
    </comment>
    <comment ref="B56" authorId="0" shapeId="0" xr:uid="{A0C37709-293E-4C19-938B-833485C8ACD2}">
      <text>
        <r>
          <rPr>
            <sz val="9"/>
            <color indexed="81"/>
            <rFont val="Tahoma"/>
            <family val="2"/>
          </rPr>
          <t>Se considerara como</t>
        </r>
        <r>
          <rPr>
            <b/>
            <sz val="9"/>
            <color indexed="81"/>
            <rFont val="Tahoma"/>
            <family val="2"/>
          </rPr>
          <t xml:space="preserve"> 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emp - examen de medicina preventiva</t>
        </r>
        <r>
          <rPr>
            <sz val="9"/>
            <color indexed="81"/>
            <rFont val="Tahoma"/>
            <family val="2"/>
          </rPr>
          <t xml:space="preserve"> y  en sección </t>
        </r>
        <r>
          <rPr>
            <b/>
            <sz val="9"/>
            <color indexed="81"/>
            <rFont val="Tahoma"/>
            <family val="2"/>
          </rPr>
          <t xml:space="preserve">EMP EN PERSONAS MAYORES (65 AÑOS o más) </t>
        </r>
        <r>
          <rPr>
            <sz val="9"/>
            <color indexed="81"/>
            <rFont val="Tahoma"/>
            <family val="2"/>
          </rPr>
          <t xml:space="preserve"> tenga en el  campo </t>
        </r>
        <r>
          <rPr>
            <b/>
            <sz val="9"/>
            <color indexed="81"/>
            <rFont val="Tahoma"/>
            <family val="2"/>
          </rPr>
          <t>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 </t>
        </r>
        <r>
          <rPr>
            <b/>
            <sz val="9"/>
            <color indexed="81"/>
            <rFont val="Tahoma"/>
            <family val="2"/>
          </rPr>
          <t xml:space="preserve">Fecha Próximo Control </t>
        </r>
        <r>
          <rPr>
            <sz val="9"/>
            <color indexed="81"/>
            <rFont val="Tahoma"/>
            <family val="2"/>
          </rPr>
          <t xml:space="preserve"> fecha aproximada a su proxima citación a control
y además en el Campo</t>
        </r>
        <r>
          <rPr>
            <b/>
            <sz val="9"/>
            <color indexed="81"/>
            <rFont val="Tahoma"/>
            <family val="2"/>
          </rPr>
          <t xml:space="preserve"> Resultado del  Estacion unipodal derecha y/o Izquierda</t>
        </r>
        <r>
          <rPr>
            <sz val="9"/>
            <color indexed="81"/>
            <rFont val="Tahoma"/>
            <family val="2"/>
          </rPr>
          <t xml:space="preserve"> el valo</t>
        </r>
        <r>
          <rPr>
            <b/>
            <sz val="9"/>
            <color indexed="81"/>
            <rFont val="Tahoma"/>
            <family val="2"/>
          </rPr>
          <t>r igual o mayor a 5 que corresponde a Norma</t>
        </r>
        <r>
          <rPr>
            <sz val="9"/>
            <color indexed="81"/>
            <rFont val="Tahoma"/>
            <family val="2"/>
          </rPr>
          <t xml:space="preserve">l.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7" authorId="0" shapeId="0" xr:uid="{871D036E-8133-4A93-B10D-4A63955924C9}">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 xml:space="preserve">y en  el Formulario </t>
        </r>
        <r>
          <rPr>
            <b/>
            <sz val="9"/>
            <color indexed="81"/>
            <rFont val="Tahoma"/>
            <family val="2"/>
          </rPr>
          <t>emp - examen de medicina preventiva</t>
        </r>
        <r>
          <rPr>
            <sz val="9"/>
            <color indexed="81"/>
            <rFont val="Tahoma"/>
            <family val="2"/>
          </rPr>
          <t xml:space="preserve"> y  en sección </t>
        </r>
        <r>
          <rPr>
            <b/>
            <sz val="9"/>
            <color indexed="81"/>
            <rFont val="Tahoma"/>
            <family val="2"/>
          </rPr>
          <t xml:space="preserve">EMP EN PERSONAS MAYORES (65 AÑOS o más) </t>
        </r>
        <r>
          <rPr>
            <sz val="9"/>
            <color indexed="81"/>
            <rFont val="Tahoma"/>
            <family val="2"/>
          </rPr>
          <t xml:space="preserve"> tenga en el  campo </t>
        </r>
        <r>
          <rPr>
            <b/>
            <sz val="9"/>
            <color indexed="81"/>
            <rFont val="Tahoma"/>
            <family val="2"/>
          </rPr>
          <t>Estado del Paciente</t>
        </r>
        <r>
          <rPr>
            <sz val="9"/>
            <color indexed="81"/>
            <rFont val="Tahoma"/>
            <family val="2"/>
          </rPr>
          <t xml:space="preserve"> tenga el valor Ingreso o Seguimiento y  que el Campo </t>
        </r>
        <r>
          <rPr>
            <b/>
            <sz val="9"/>
            <color indexed="81"/>
            <rFont val="Tahoma"/>
            <family val="2"/>
          </rPr>
          <t>Fecha Próximo Control</t>
        </r>
        <r>
          <rPr>
            <sz val="9"/>
            <color indexed="81"/>
            <rFont val="Tahoma"/>
            <family val="2"/>
          </rPr>
          <t xml:space="preserve">  fecha aproximada a su proxima citación a control
y además en el Campo Resultado del  </t>
        </r>
        <r>
          <rPr>
            <b/>
            <sz val="9"/>
            <color indexed="81"/>
            <rFont val="Tahoma"/>
            <family val="2"/>
          </rPr>
          <t>Estacion unipodal derecha y/o Izquierda</t>
        </r>
        <r>
          <rPr>
            <sz val="9"/>
            <color indexed="81"/>
            <rFont val="Tahoma"/>
            <family val="2"/>
          </rPr>
          <t xml:space="preserve"> el valor</t>
        </r>
        <r>
          <rPr>
            <b/>
            <sz val="9"/>
            <color indexed="81"/>
            <rFont val="Tahoma"/>
            <family val="2"/>
          </rPr>
          <t xml:space="preserve"> igual o menor a 4 que corresponde a Alterado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ffuentes</author>
    <author>Nicole Cisternas</author>
    <author>Priscilla Acuña</author>
    <author>John San Martin Retamal</author>
    <author>Cristian Melgarejo</author>
    <author>azavala</author>
    <author>-</author>
  </authors>
  <commentList>
    <comment ref="AN10" authorId="0" shapeId="0" xr:uid="{55AC82A0-A630-4B25-9339-A4C4BD6668D0}">
      <text>
        <r>
          <rPr>
            <sz val="9"/>
            <color indexed="81"/>
            <rFont val="Tahoma"/>
            <family val="2"/>
          </rPr>
          <t xml:space="preserve">Este dato se contabilizará al seleccionarr en la opcion </t>
        </r>
        <r>
          <rPr>
            <b/>
            <sz val="9"/>
            <color indexed="81"/>
            <rFont val="Tahoma"/>
            <family val="2"/>
          </rPr>
          <t xml:space="preserve">"Ciclo Vital" </t>
        </r>
        <r>
          <rPr>
            <sz val="9"/>
            <color indexed="81"/>
            <rFont val="Tahoma"/>
            <family val="2"/>
          </rPr>
          <t xml:space="preserve">que se encuentra en la Anamnesis de la Ficha Clínica Electrónica en RAYEN las siguientes opciones:
</t>
        </r>
        <r>
          <rPr>
            <b/>
            <sz val="9"/>
            <color indexed="81"/>
            <rFont val="Tahoma"/>
            <family val="2"/>
          </rPr>
          <t xml:space="preserve">
Embarazada</t>
        </r>
        <r>
          <rPr>
            <sz val="9"/>
            <color indexed="81"/>
            <rFont val="Tahoma"/>
            <family val="2"/>
          </rPr>
          <t xml:space="preserve">
      ó
</t>
        </r>
        <r>
          <rPr>
            <b/>
            <sz val="9"/>
            <color indexed="81"/>
            <rFont val="Tahoma"/>
            <family val="2"/>
          </rPr>
          <t>Embarazada Primigesta</t>
        </r>
      </text>
    </comment>
    <comment ref="AO10" authorId="0" shapeId="0" xr:uid="{B9B80BF0-5591-4F28-A70F-4EA67F4FD0B2}">
      <text>
        <r>
          <rPr>
            <sz val="9"/>
            <color indexed="81"/>
            <rFont val="Tahoma"/>
            <family val="2"/>
          </rPr>
          <t xml:space="preserve">Este dato aparecerá  luego de que en la atención 
1.- Registrada en el </t>
        </r>
        <r>
          <rPr>
            <b/>
            <sz val="9"/>
            <color indexed="81"/>
            <rFont val="Tahoma"/>
            <family val="2"/>
          </rPr>
          <t xml:space="preserve">Módulo Box - Pacientes Citados 
</t>
        </r>
        <r>
          <rPr>
            <sz val="9"/>
            <color indexed="81"/>
            <rFont val="Tahoma"/>
            <family val="2"/>
          </rPr>
          <t>2</t>
        </r>
        <r>
          <rPr>
            <b/>
            <sz val="9"/>
            <color indexed="81"/>
            <rFont val="Tahoma"/>
            <family val="2"/>
          </rPr>
          <t xml:space="preserve">.- </t>
        </r>
        <r>
          <rPr>
            <sz val="9"/>
            <color indexed="81"/>
            <rFont val="Tahoma"/>
            <family val="2"/>
          </rPr>
          <t>ó Registrada en el</t>
        </r>
        <r>
          <rPr>
            <b/>
            <sz val="9"/>
            <color indexed="81"/>
            <rFont val="Tahoma"/>
            <family val="2"/>
          </rPr>
          <t xml:space="preserve"> Módulo Box - Agregar Documentos a una Atención</t>
        </r>
        <r>
          <rPr>
            <sz val="9"/>
            <color indexed="81"/>
            <rFont val="Tahoma"/>
            <family val="2"/>
          </rPr>
          <t xml:space="preserve">
Se complete en el formulario </t>
        </r>
        <r>
          <rPr>
            <b/>
            <sz val="9"/>
            <color indexed="81"/>
            <rFont val="Tahoma"/>
            <family val="2"/>
          </rPr>
          <t>"Control de Salud Mental"</t>
        </r>
        <r>
          <rPr>
            <sz val="9"/>
            <color indexed="81"/>
            <rFont val="Tahoma"/>
            <family val="2"/>
          </rPr>
          <t xml:space="preserve"> el campo </t>
        </r>
        <r>
          <rPr>
            <b/>
            <sz val="9"/>
            <color indexed="81"/>
            <rFont val="Tahoma"/>
            <family val="2"/>
          </rPr>
          <t>¿Usted es Madre de Hijo Menor de 5 años?</t>
        </r>
        <r>
          <rPr>
            <sz val="9"/>
            <color indexed="81"/>
            <rFont val="Tahoma"/>
            <family val="2"/>
          </rPr>
          <t xml:space="preserve"> Y tenga valor </t>
        </r>
        <r>
          <rPr>
            <b/>
            <sz val="9"/>
            <color indexed="81"/>
            <rFont val="Tahoma"/>
            <family val="2"/>
          </rPr>
          <t>"Si"</t>
        </r>
      </text>
    </comment>
    <comment ref="AP10" authorId="1" shapeId="0" xr:uid="{70FDA647-4041-4295-B62A-03A0AD57CE6E}">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o en </t>
        </r>
        <r>
          <rPr>
            <b/>
            <sz val="9"/>
            <color indexed="81"/>
            <rFont val="Tahoma"/>
            <family val="2"/>
          </rPr>
          <t xml:space="preserve">Box - Pacientes Citados </t>
        </r>
        <r>
          <rPr>
            <sz val="9"/>
            <color indexed="81"/>
            <rFont val="Tahoma"/>
            <family val="2"/>
          </rPr>
          <t xml:space="preserve">el paciente indique un </t>
        </r>
        <r>
          <rPr>
            <b/>
            <sz val="9"/>
            <color indexed="81"/>
            <rFont val="Tahoma"/>
            <family val="2"/>
          </rPr>
          <t>Pueblo Indigena</t>
        </r>
        <r>
          <rPr>
            <sz val="9"/>
            <color indexed="81"/>
            <rFont val="Tahoma"/>
            <family val="2"/>
          </rPr>
          <t xml:space="preserve">
</t>
        </r>
      </text>
    </comment>
    <comment ref="AR10" authorId="1" shapeId="0" xr:uid="{F5E97BCA-7E51-4DCA-9F5B-3C03A00E9ADE}">
      <text>
        <r>
          <rPr>
            <sz val="9"/>
            <color indexed="81"/>
            <rFont val="Tahoma"/>
            <family val="2"/>
          </rPr>
          <t>Se contabilizara a los pacientes que tengan en Admisión - usuario "Alerta Administrativa" o Box - Pacientes Citados - "Alertas Administrativas"</t>
        </r>
        <r>
          <rPr>
            <b/>
            <sz val="9"/>
            <color indexed="81"/>
            <rFont val="Tahoma"/>
            <family val="2"/>
          </rPr>
          <t xml:space="preserve">  "MIGRANTES"</t>
        </r>
        <r>
          <rPr>
            <sz val="9"/>
            <color indexed="81"/>
            <rFont val="Tahoma"/>
            <family val="2"/>
          </rPr>
          <t xml:space="preserve">
</t>
        </r>
      </text>
    </comment>
    <comment ref="AT10" authorId="2" shapeId="0" xr:uid="{B8414F10-AEC6-4BC8-BCFC-B042CBE0AA95}">
      <text>
        <r>
          <rPr>
            <sz val="9"/>
            <color indexed="81"/>
            <rFont val="Tahoma"/>
            <family val="2"/>
          </rPr>
          <t xml:space="preserve">
Se contabilizará a los usuarios que tengan registrado desde</t>
        </r>
        <r>
          <rPr>
            <b/>
            <sz val="9"/>
            <color indexed="81"/>
            <rFont val="Tahoma"/>
            <family val="2"/>
          </rPr>
          <t xml:space="preserve"> BOX o Inscripción alguna de las siguientes alertas administrativas:</t>
        </r>
        <r>
          <rPr>
            <sz val="9"/>
            <color indexed="81"/>
            <rFont val="Tahoma"/>
            <family val="2"/>
          </rPr>
          <t xml:space="preserve">
</t>
        </r>
        <r>
          <rPr>
            <b/>
            <sz val="9"/>
            <color indexed="81"/>
            <rFont val="Tahoma"/>
            <family val="2"/>
          </rPr>
          <t xml:space="preserve">Programa SENAME - Ambulatorios
</t>
        </r>
        <r>
          <rPr>
            <sz val="9"/>
            <color indexed="81"/>
            <rFont val="Tahoma"/>
            <family val="2"/>
          </rPr>
          <t>o</t>
        </r>
        <r>
          <rPr>
            <b/>
            <sz val="9"/>
            <color indexed="81"/>
            <rFont val="Tahoma"/>
            <family val="2"/>
          </rPr>
          <t xml:space="preserve">
Programa SENAME - CIP/CRC</t>
        </r>
      </text>
    </comment>
    <comment ref="AU10" authorId="2" shapeId="0" xr:uid="{01100379-9BC2-4D5A-A96F-E1874A9E09F8}">
      <text>
        <r>
          <rPr>
            <sz val="9"/>
            <color indexed="81"/>
            <rFont val="Tahoma"/>
            <family val="2"/>
          </rPr>
          <t xml:space="preserve">
Se contabilizara a los usuarios que tengan registrado desde </t>
        </r>
        <r>
          <rPr>
            <b/>
            <sz val="9"/>
            <color indexed="81"/>
            <rFont val="Tahoma"/>
            <family val="2"/>
          </rPr>
          <t>BOX o</t>
        </r>
        <r>
          <rPr>
            <sz val="9"/>
            <color indexed="81"/>
            <rFont val="Tahoma"/>
            <family val="2"/>
          </rPr>
          <t xml:space="preserve"> </t>
        </r>
        <r>
          <rPr>
            <b/>
            <sz val="9"/>
            <color indexed="81"/>
            <rFont val="Tahoma"/>
            <family val="2"/>
          </rPr>
          <t xml:space="preserve">Inscripcion la  alerta administrativa: </t>
        </r>
        <r>
          <rPr>
            <sz val="9"/>
            <color indexed="81"/>
            <rFont val="Tahoma"/>
            <family val="2"/>
          </rPr>
          <t xml:space="preserve">
</t>
        </r>
        <r>
          <rPr>
            <b/>
            <sz val="9"/>
            <color indexed="81"/>
            <rFont val="Tahoma"/>
            <family val="2"/>
          </rPr>
          <t xml:space="preserve">SPE ex Mejor Niñez - Ambulatorio
</t>
        </r>
        <r>
          <rPr>
            <sz val="9"/>
            <color indexed="81"/>
            <rFont val="Tahoma"/>
            <family val="2"/>
          </rPr>
          <t xml:space="preserve">o
</t>
        </r>
        <r>
          <rPr>
            <b/>
            <sz val="9"/>
            <color indexed="81"/>
            <rFont val="Tahoma"/>
            <family val="2"/>
          </rPr>
          <t>SPE ex Mejor Niñez - Residencial</t>
        </r>
      </text>
    </comment>
    <comment ref="AV10" authorId="1" shapeId="0" xr:uid="{ADA21F72-E0BC-4F4E-8C4A-F4DC8B745172}">
      <text>
        <r>
          <rPr>
            <b/>
            <sz val="9"/>
            <color indexed="81"/>
            <rFont val="Tahoma"/>
            <family val="2"/>
          </rPr>
          <t xml:space="preserve">
</t>
        </r>
        <r>
          <rPr>
            <sz val="9"/>
            <color indexed="81"/>
            <rFont val="Tahoma"/>
            <family val="2"/>
          </rPr>
          <t>Este dato aparecerá  luego de que la atención registrada en</t>
        </r>
        <r>
          <rPr>
            <b/>
            <sz val="9"/>
            <color indexed="81"/>
            <rFont val="Tahoma"/>
            <family val="2"/>
          </rPr>
          <t xml:space="preserve"> Módulo de Box/Pacientes citados, o en Atención/Registro Atención Individual, </t>
        </r>
        <r>
          <rPr>
            <sz val="9"/>
            <color indexed="81"/>
            <rFont val="Tahoma"/>
            <family val="2"/>
          </rPr>
          <t>se registre</t>
        </r>
        <r>
          <rPr>
            <b/>
            <sz val="9"/>
            <color indexed="81"/>
            <rFont val="Tahoma"/>
            <family val="2"/>
          </rPr>
          <t xml:space="preserve"> la actividad: 
- Plan cuidado Integral Elaborado
Y 
Además, se cumpla con el registro solicitado por cada Item de la seccion ( Registro de Formulario Clinico + Condicion)</t>
        </r>
      </text>
    </comment>
    <comment ref="AW12" authorId="3" shapeId="0" xr:uid="{A5D64BD0-7A93-4248-AD23-EA09B60D97C8}">
      <text>
        <r>
          <rPr>
            <sz val="9"/>
            <color indexed="81"/>
            <rFont val="Tahoma"/>
            <family val="2"/>
          </rPr>
          <t>El Paciente debe tener identificado en</t>
        </r>
        <r>
          <rPr>
            <b/>
            <sz val="9"/>
            <color indexed="81"/>
            <rFont val="Tahoma"/>
            <family val="2"/>
          </rPr>
          <t xml:space="preserve"> Módulo de Admisión</t>
        </r>
        <r>
          <rPr>
            <sz val="9"/>
            <color indexed="81"/>
            <rFont val="Tahoma"/>
            <family val="2"/>
          </rPr>
          <t xml:space="preserve"> Pestaña</t>
        </r>
        <r>
          <rPr>
            <b/>
            <sz val="9"/>
            <color indexed="81"/>
            <rFont val="Tahoma"/>
            <family val="2"/>
          </rPr>
          <t xml:space="preserve"> Usuario </t>
        </r>
        <r>
          <rPr>
            <sz val="9"/>
            <color indexed="81"/>
            <rFont val="Tahoma"/>
            <family val="2"/>
          </rPr>
          <t xml:space="preserve">y desde </t>
        </r>
        <r>
          <rPr>
            <b/>
            <sz val="9"/>
            <color indexed="81"/>
            <rFont val="Tahoma"/>
            <family val="2"/>
          </rPr>
          <t xml:space="preserve">Módulo Box - Pacientes Citados </t>
        </r>
        <r>
          <rPr>
            <sz val="9"/>
            <color indexed="81"/>
            <rFont val="Tahoma"/>
            <family val="2"/>
          </rPr>
          <t xml:space="preserve">en </t>
        </r>
        <r>
          <rPr>
            <b/>
            <sz val="9"/>
            <color indexed="81"/>
            <rFont val="Tahoma"/>
            <family val="2"/>
          </rPr>
          <t>Modificar Datos del Paciente</t>
        </r>
        <r>
          <rPr>
            <sz val="9"/>
            <color indexed="81"/>
            <rFont val="Tahoma"/>
            <family val="2"/>
          </rPr>
          <t xml:space="preserve">  en la Opción </t>
        </r>
        <r>
          <rPr>
            <b/>
            <sz val="9"/>
            <color indexed="81"/>
            <rFont val="Tahoma"/>
            <family val="2"/>
          </rPr>
          <t>Genero</t>
        </r>
        <r>
          <rPr>
            <sz val="9"/>
            <color indexed="81"/>
            <rFont val="Tahoma"/>
            <family val="2"/>
          </rPr>
          <t xml:space="preserve"> debe registrar </t>
        </r>
        <r>
          <rPr>
            <b/>
            <sz val="9"/>
            <color indexed="81"/>
            <rFont val="Tahoma"/>
            <family val="2"/>
          </rPr>
          <t>Masculino Trans</t>
        </r>
        <r>
          <rPr>
            <sz val="9"/>
            <color indexed="81"/>
            <rFont val="Tahoma"/>
            <family val="2"/>
          </rPr>
          <t xml:space="preserve">
</t>
        </r>
      </text>
    </comment>
    <comment ref="AX12" authorId="3" shapeId="0" xr:uid="{6CCFBE27-78C1-4229-9F30-9A4EA06EBEC5}">
      <text>
        <r>
          <rPr>
            <sz val="9"/>
            <color indexed="81"/>
            <rFont val="Tahoma"/>
            <family val="2"/>
          </rPr>
          <t>El Paciente debe tener identificado en</t>
        </r>
        <r>
          <rPr>
            <b/>
            <sz val="9"/>
            <color indexed="81"/>
            <rFont val="Tahoma"/>
            <family val="2"/>
          </rPr>
          <t xml:space="preserve"> Módulo de Admisión</t>
        </r>
        <r>
          <rPr>
            <sz val="9"/>
            <color indexed="81"/>
            <rFont val="Tahoma"/>
            <family val="2"/>
          </rPr>
          <t xml:space="preserve"> Pestaña</t>
        </r>
        <r>
          <rPr>
            <b/>
            <sz val="9"/>
            <color indexed="81"/>
            <rFont val="Tahoma"/>
            <family val="2"/>
          </rPr>
          <t xml:space="preserve"> Usuario </t>
        </r>
        <r>
          <rPr>
            <sz val="9"/>
            <color indexed="81"/>
            <rFont val="Tahoma"/>
            <family val="2"/>
          </rPr>
          <t xml:space="preserve">y desde </t>
        </r>
        <r>
          <rPr>
            <b/>
            <sz val="9"/>
            <color indexed="81"/>
            <rFont val="Tahoma"/>
            <family val="2"/>
          </rPr>
          <t xml:space="preserve">Módulo Box - Pacientes Citados </t>
        </r>
        <r>
          <rPr>
            <sz val="9"/>
            <color indexed="81"/>
            <rFont val="Tahoma"/>
            <family val="2"/>
          </rPr>
          <t xml:space="preserve">en </t>
        </r>
        <r>
          <rPr>
            <b/>
            <sz val="9"/>
            <color indexed="81"/>
            <rFont val="Tahoma"/>
            <family val="2"/>
          </rPr>
          <t>Modificar Datos del Paciente</t>
        </r>
        <r>
          <rPr>
            <sz val="9"/>
            <color indexed="81"/>
            <rFont val="Tahoma"/>
            <family val="2"/>
          </rPr>
          <t xml:space="preserve">  en la Opción </t>
        </r>
        <r>
          <rPr>
            <b/>
            <sz val="9"/>
            <color indexed="81"/>
            <rFont val="Tahoma"/>
            <family val="2"/>
          </rPr>
          <t>Genero</t>
        </r>
        <r>
          <rPr>
            <sz val="9"/>
            <color indexed="81"/>
            <rFont val="Tahoma"/>
            <family val="2"/>
          </rPr>
          <t xml:space="preserve"> debe registrar </t>
        </r>
        <r>
          <rPr>
            <b/>
            <sz val="9"/>
            <color indexed="81"/>
            <rFont val="Tahoma"/>
            <family val="2"/>
          </rPr>
          <t>Femenino Trans</t>
        </r>
        <r>
          <rPr>
            <sz val="9"/>
            <color indexed="81"/>
            <rFont val="Tahoma"/>
            <family val="2"/>
          </rPr>
          <t xml:space="preserve">
</t>
        </r>
      </text>
    </comment>
    <comment ref="A13" authorId="3" shapeId="0" xr:uid="{444F3832-CBA4-473D-B20A-8EB8DC273E8C}">
      <text>
        <r>
          <rPr>
            <sz val="9"/>
            <color indexed="81"/>
            <rFont val="Tahoma"/>
            <family val="2"/>
          </rPr>
          <t xml:space="preserve">Se contabilizara el Numero de Personas que cumplen las condiciones de </t>
        </r>
        <r>
          <rPr>
            <b/>
            <sz val="9"/>
            <color indexed="81"/>
            <rFont val="Tahoma"/>
            <family val="2"/>
          </rPr>
          <t xml:space="preserve">Poblacion Bajo Control </t>
        </r>
        <r>
          <rPr>
            <sz val="9"/>
            <color indexed="81"/>
            <rFont val="Tahoma"/>
            <family val="2"/>
          </rPr>
          <t xml:space="preserve">descritas en </t>
        </r>
        <r>
          <rPr>
            <b/>
            <sz val="9"/>
            <color indexed="81"/>
            <rFont val="Tahoma"/>
            <family val="2"/>
          </rPr>
          <t xml:space="preserve">Factores de Riesgo y Condicionantes de la Salud Mental </t>
        </r>
        <r>
          <rPr>
            <sz val="9"/>
            <color indexed="81"/>
            <rFont val="Tahoma"/>
            <family val="2"/>
          </rPr>
          <t xml:space="preserve">o </t>
        </r>
        <r>
          <rPr>
            <b/>
            <sz val="9"/>
            <color indexed="81"/>
            <rFont val="Tahoma"/>
            <family val="2"/>
          </rPr>
          <t>Diagnosticos de Trastornos Mentales</t>
        </r>
        <r>
          <rPr>
            <sz val="9"/>
            <color indexed="81"/>
            <rFont val="Tahoma"/>
            <family val="2"/>
          </rPr>
          <t xml:space="preserve">. </t>
        </r>
        <r>
          <rPr>
            <b/>
            <sz val="9"/>
            <color indexed="81"/>
            <rFont val="Tahoma"/>
            <family val="2"/>
          </rPr>
          <t>Centros de Atención Primaria</t>
        </r>
        <r>
          <rPr>
            <sz val="9"/>
            <color indexed="81"/>
            <rFont val="Tahoma"/>
            <family val="2"/>
          </rPr>
          <t xml:space="preserve">.
</t>
        </r>
        <r>
          <rPr>
            <b/>
            <sz val="9"/>
            <color indexed="81"/>
            <rFont val="Tahoma"/>
            <family val="2"/>
          </rPr>
          <t>Una persona puede tener 1 o Más Factores de Riesgo, Condicionantes o Diagnosticos de Trastornos Mentales.</t>
        </r>
        <r>
          <rPr>
            <sz val="9"/>
            <color indexed="81"/>
            <rFont val="Tahoma"/>
            <family val="2"/>
          </rPr>
          <t xml:space="preserve">
</t>
        </r>
        <r>
          <rPr>
            <b/>
            <sz val="9"/>
            <color indexed="81"/>
            <rFont val="Tahoma"/>
            <family val="2"/>
          </rPr>
          <t xml:space="preserve">
Definiciones conceptuales:
</t>
        </r>
        <r>
          <rPr>
            <sz val="9"/>
            <color indexed="81"/>
            <rFont val="Tahoma"/>
            <family val="2"/>
          </rPr>
          <t>Corresponde a las personas que están en control con médico o psicólogo (terapeuta ocupacional, asistente social, enfermera u otro profesional capacitado), por factores de riesgo y condicionantes de salud mental y/o por diagnósticos de trastornos mentales. Considera a las personas que reciben prestaciones de control de salud mental de manera presencial, como también, a las personas que reciben acciones telefónicas de seguimiento y/o controles de salud mental realizados de manera remota, siendo todo esto, registrado en su respectiva ficha clínica electrónica.</t>
        </r>
        <r>
          <rPr>
            <b/>
            <sz val="9"/>
            <color indexed="81"/>
            <rFont val="Tahoma"/>
            <family val="2"/>
          </rPr>
          <t xml:space="preserve">
Población en control: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
Ejemplo;</t>
        </r>
        <r>
          <rPr>
            <b/>
            <sz val="9"/>
            <color indexed="81"/>
            <rFont val="Tahoma"/>
            <family val="2"/>
          </rPr>
          <t xml:space="preserve">
"Si desde la fecha del Próximo Control registrada en el Formulario de Control de Salud Mental Transcurren 45 días sin actualización de Fecha de Control, este paciente no será considerado en la población bajo control hasta activarlo nuevamente seleccionando el campo Estado en su patología con los valores Reingreso o Seguimiento"
</t>
        </r>
      </text>
    </comment>
    <comment ref="C14" authorId="3" shapeId="0" xr:uid="{C9FBFA58-E981-4445-988A-CDFEC52EF9C4}">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las condiciones descritas En detalles de </t>
        </r>
        <r>
          <rPr>
            <b/>
            <sz val="9"/>
            <color indexed="81"/>
            <rFont val="Tahoma"/>
            <family val="2"/>
          </rPr>
          <t>Factores de Riesgo y Condicionantes de la Salud Mental.</t>
        </r>
        <r>
          <rPr>
            <sz val="9"/>
            <color indexed="81"/>
            <rFont val="Tahoma"/>
            <family val="2"/>
          </rPr>
          <t xml:space="preserve"> Centros de Atención Primaria.</t>
        </r>
        <r>
          <rPr>
            <b/>
            <sz val="9"/>
            <color indexed="81"/>
            <rFont val="Tahoma"/>
            <family val="2"/>
          </rPr>
          <t xml:space="preserve">
Definiciones conceptuales:
C</t>
        </r>
        <r>
          <rPr>
            <sz val="9"/>
            <color indexed="81"/>
            <rFont val="Tahoma"/>
            <family val="2"/>
          </rPr>
          <t>orresponde a las personas que están en control con médico o psicólogo (terapeuta ocupacional, asistente social, enfermera u otro profesional capacitado), por factores de riesgo y condicionantes de salud mental y/o por diagnósticos de trastornos mentales. Considera a las personas que reciben prestaciones de control de salud mental de manera presencial, como también, a las personas que reciben acciones telefónicas de seguimiento y/o controles de salud mental realizados de manera remota, siendo todo esto, registrado en su respectiva ficha clínica electrónica.</t>
        </r>
        <r>
          <rPr>
            <b/>
            <sz val="9"/>
            <color indexed="81"/>
            <rFont val="Tahoma"/>
            <family val="2"/>
          </rPr>
          <t xml:space="preserve">
Población en control:</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Ejemplo;
"Si desde la fecha del Próximo Control registrada en el Formulario de Control de Salud Mental Transcurren 45 días sin actualización de Fecha de Control, este paciente no será considerado en la población bajo control hasta activarlo nuevamente seleccionando el campo Estado en su patología con los valores Reingreso o Seguimiento"</t>
        </r>
      </text>
    </comment>
    <comment ref="B15" authorId="4" shapeId="0" xr:uid="{DEAFA796-CF2B-4B2F-B0D1-E2F10CD81B64}">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 xml:space="preserve">Física,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16" authorId="4" shapeId="0" xr:uid="{EA554CD2-1D96-4C1C-99F2-A4A0002BFCAC}">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Física</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t>
        </r>
        <r>
          <rPr>
            <b/>
            <sz val="9"/>
            <color indexed="81"/>
            <rFont val="Tahoma"/>
            <family val="2"/>
          </rPr>
          <t>Fecha Próximo Control</t>
        </r>
        <r>
          <rPr>
            <sz val="9"/>
            <color indexed="81"/>
            <rFont val="Tahoma"/>
            <family val="2"/>
          </rPr>
          <t xml:space="preserve"> una fecha aproximada de su control.
</t>
        </r>
      </text>
    </comment>
    <comment ref="B17" authorId="4" shapeId="0" xr:uid="{E7353013-D3D4-4C87-B2E8-8B4A052BF61D}">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 xml:space="preserve">Sexual,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18" authorId="4" shapeId="0" xr:uid="{47F4C8C5-547A-4200-9DE7-6A89F81794F4}">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Sexual</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t>
        </r>
        <r>
          <rPr>
            <b/>
            <sz val="9"/>
            <color indexed="81"/>
            <rFont val="Tahoma"/>
            <family val="2"/>
          </rPr>
          <t xml:space="preserve">Fecha Próximo Control </t>
        </r>
        <r>
          <rPr>
            <sz val="9"/>
            <color indexed="81"/>
            <rFont val="Tahoma"/>
            <family val="2"/>
          </rPr>
          <t xml:space="preserve">una fecha aproximada de su control.
</t>
        </r>
      </text>
    </comment>
    <comment ref="B19" authorId="4" shapeId="0" xr:uid="{6A151364-1918-42F4-AFA7-F742CB6E3FEC}">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t>
        </r>
        <r>
          <rPr>
            <b/>
            <sz val="9"/>
            <color indexed="81"/>
            <rFont val="Tahoma"/>
            <family val="2"/>
          </rPr>
          <t xml:space="preserve"> Psicológica,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20" authorId="4" shapeId="0" xr:uid="{238EEB4C-8093-4483-81FD-4CAA3812DE69}">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Física</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Fecha Próximo Control una fecha aproximada de su control.
</t>
        </r>
      </text>
    </comment>
    <comment ref="C21" authorId="5" shapeId="0" xr:uid="{D50CAC93-7B2F-43BA-B8BB-583CE49131E2}">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¿Sufre de Abuso Sexual?</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 xml:space="preserve">tenga los Valores </t>
        </r>
        <r>
          <rPr>
            <b/>
            <sz val="9"/>
            <color indexed="81"/>
            <rFont val="Tahoma"/>
            <family val="2"/>
          </rPr>
          <t xml:space="preserve">Ingreso, Reingreso o Seguimiento.
</t>
        </r>
        <r>
          <rPr>
            <sz val="9"/>
            <color indexed="81"/>
            <rFont val="Tahoma"/>
            <family val="2"/>
          </rPr>
          <t xml:space="preserve">y ademas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22" authorId="3" shapeId="0" xr:uid="{C09DB615-5153-4C00-8FDE-B05829AFA81F}">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Factores de Resgo y Condicionantes de la Salud Mental  </t>
        </r>
        <r>
          <rPr>
            <sz val="9"/>
            <color indexed="81"/>
            <rFont val="Tahoma"/>
            <family val="2"/>
          </rPr>
          <t>en el campo</t>
        </r>
        <r>
          <rPr>
            <b/>
            <sz val="9"/>
            <color indexed="81"/>
            <rFont val="Tahoma"/>
            <family val="2"/>
          </rPr>
          <t xml:space="preserve"> Suicidio </t>
        </r>
        <r>
          <rPr>
            <sz val="9"/>
            <color indexed="81"/>
            <rFont val="Tahoma"/>
            <family val="2"/>
          </rPr>
          <t>debe seleccionar el valor</t>
        </r>
        <r>
          <rPr>
            <b/>
            <sz val="9"/>
            <color indexed="81"/>
            <rFont val="Tahoma"/>
            <family val="2"/>
          </rPr>
          <t xml:space="preserve"> "Si",</t>
        </r>
        <r>
          <rPr>
            <sz val="9"/>
            <color indexed="81"/>
            <rFont val="Tahoma"/>
            <family val="2"/>
          </rPr>
          <t xml:space="preserve"> además en el campo Tipo de</t>
        </r>
        <r>
          <rPr>
            <b/>
            <sz val="9"/>
            <color indexed="81"/>
            <rFont val="Tahoma"/>
            <family val="2"/>
          </rPr>
          <t xml:space="preserve"> Suicidio </t>
        </r>
        <r>
          <rPr>
            <sz val="9"/>
            <color indexed="81"/>
            <rFont val="Tahoma"/>
            <family val="2"/>
          </rPr>
          <t xml:space="preserve">se debe ingresar </t>
        </r>
        <r>
          <rPr>
            <b/>
            <sz val="9"/>
            <color indexed="81"/>
            <rFont val="Tahoma"/>
            <family val="2"/>
          </rPr>
          <t>Ideación</t>
        </r>
        <r>
          <rPr>
            <sz val="9"/>
            <color indexed="81"/>
            <rFont val="Tahoma"/>
            <family val="2"/>
          </rPr>
          <t>, asi tambien el campo</t>
        </r>
        <r>
          <rPr>
            <b/>
            <sz val="9"/>
            <color indexed="81"/>
            <rFont val="Tahoma"/>
            <family val="2"/>
          </rPr>
          <t xml:space="preserve"> Estado</t>
        </r>
        <r>
          <rPr>
            <sz val="9"/>
            <color indexed="81"/>
            <rFont val="Tahoma"/>
            <family val="2"/>
          </rPr>
          <t xml:space="preserve"> debe tener el valor </t>
        </r>
        <r>
          <rPr>
            <b/>
            <sz val="9"/>
            <color indexed="81"/>
            <rFont val="Tahoma"/>
            <family val="2"/>
          </rPr>
          <t>Ingreso, reingreso o Seguimiento</t>
        </r>
        <r>
          <rPr>
            <sz val="9"/>
            <color indexed="81"/>
            <rFont val="Tahoma"/>
            <family val="2"/>
          </rPr>
          <t xml:space="preserve">
Debe tener registrado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
</t>
        </r>
      </text>
    </comment>
    <comment ref="C23" authorId="3" shapeId="0" xr:uid="{0A1B6698-E45F-4879-BF88-061474918FBA}">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Factores de Resgo y Condicionantes de la Salud Mental</t>
        </r>
        <r>
          <rPr>
            <sz val="9"/>
            <color indexed="81"/>
            <rFont val="Tahoma"/>
            <family val="2"/>
          </rPr>
          <t xml:space="preserve">  en el campo</t>
        </r>
        <r>
          <rPr>
            <b/>
            <sz val="9"/>
            <color indexed="81"/>
            <rFont val="Tahoma"/>
            <family val="2"/>
          </rPr>
          <t xml:space="preserve"> Suicidio</t>
        </r>
        <r>
          <rPr>
            <sz val="9"/>
            <color indexed="81"/>
            <rFont val="Tahoma"/>
            <family val="2"/>
          </rPr>
          <t xml:space="preserve"> debe seleccionar el valor "</t>
        </r>
        <r>
          <rPr>
            <b/>
            <sz val="9"/>
            <color indexed="81"/>
            <rFont val="Tahoma"/>
            <family val="2"/>
          </rPr>
          <t>Si"</t>
        </r>
        <r>
          <rPr>
            <sz val="9"/>
            <color indexed="81"/>
            <rFont val="Tahoma"/>
            <family val="2"/>
          </rPr>
          <t xml:space="preserve">, además en el campo Tipo de </t>
        </r>
        <r>
          <rPr>
            <b/>
            <sz val="9"/>
            <color indexed="81"/>
            <rFont val="Tahoma"/>
            <family val="2"/>
          </rPr>
          <t>Suicidio</t>
        </r>
        <r>
          <rPr>
            <sz val="9"/>
            <color indexed="81"/>
            <rFont val="Tahoma"/>
            <family val="2"/>
          </rPr>
          <t xml:space="preserve"> se debe ingresar </t>
        </r>
        <r>
          <rPr>
            <b/>
            <sz val="9"/>
            <color indexed="81"/>
            <rFont val="Tahoma"/>
            <family val="2"/>
          </rPr>
          <t>Intento</t>
        </r>
        <r>
          <rPr>
            <sz val="9"/>
            <color indexed="81"/>
            <rFont val="Tahoma"/>
            <family val="2"/>
          </rPr>
          <t xml:space="preserve">, asi tambien el campo </t>
        </r>
        <r>
          <rPr>
            <b/>
            <sz val="9"/>
            <color indexed="81"/>
            <rFont val="Tahoma"/>
            <family val="2"/>
          </rPr>
          <t>Estado</t>
        </r>
        <r>
          <rPr>
            <sz val="9"/>
            <color indexed="81"/>
            <rFont val="Tahoma"/>
            <family val="2"/>
          </rPr>
          <t xml:space="preserve"> debe tener el valor</t>
        </r>
        <r>
          <rPr>
            <b/>
            <sz val="9"/>
            <color indexed="81"/>
            <rFont val="Tahoma"/>
            <family val="2"/>
          </rPr>
          <t xml:space="preserve"> Ingreso, reingreso o Seguimiento</t>
        </r>
        <r>
          <rPr>
            <sz val="9"/>
            <color indexed="81"/>
            <rFont val="Tahoma"/>
            <family val="2"/>
          </rPr>
          <t xml:space="preserve">
Debe tener registrado en el Campo </t>
        </r>
        <r>
          <rPr>
            <b/>
            <sz val="9"/>
            <color indexed="81"/>
            <rFont val="Tahoma"/>
            <family val="2"/>
          </rPr>
          <t>Fecha Próximo Control</t>
        </r>
        <r>
          <rPr>
            <sz val="9"/>
            <color indexed="81"/>
            <rFont val="Tahoma"/>
            <family val="2"/>
          </rPr>
          <t xml:space="preserve"> una fecha aproximada de su control.
</t>
        </r>
      </text>
    </comment>
    <comment ref="C24" authorId="3" shapeId="0" xr:uid="{ACFC40CD-42E9-4DAE-8889-2CD57AF02746}">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las condiciones descritas  En detalles de </t>
        </r>
        <r>
          <rPr>
            <b/>
            <sz val="9"/>
            <color indexed="81"/>
            <rFont val="Tahoma"/>
            <family val="2"/>
          </rPr>
          <t>Diagnosticos de Trastornos Mentales.</t>
        </r>
        <r>
          <rPr>
            <sz val="9"/>
            <color indexed="81"/>
            <rFont val="Tahoma"/>
            <family val="2"/>
          </rPr>
          <t xml:space="preserve"> Centros de Atención Primaria.
</t>
        </r>
        <r>
          <rPr>
            <b/>
            <sz val="9"/>
            <color indexed="81"/>
            <rFont val="Tahoma"/>
            <family val="2"/>
          </rPr>
          <t xml:space="preserve">
Definiciones conceptuales:
</t>
        </r>
        <r>
          <rPr>
            <sz val="9"/>
            <color indexed="81"/>
            <rFont val="Tahoma"/>
            <family val="2"/>
          </rPr>
          <t>Corresponde a las personas que están en control con médico o psicólogo (terapeuta ocupacional, asistente social, enfermera u otro profesional capacitado), por factores de riesgo y condicionantes de salud mental y/o por diagnósticos de trastornos mentales. Considera a las personas que reciben prestaciones de control de salud mental de manera presencial, como también, a las personas que reciben acciones telefónicas de seguimiento y/o controles de salud mental realizados de manera remota, siendo todo esto, registrado en su respectiva ficha clínica electrónica.</t>
        </r>
        <r>
          <rPr>
            <b/>
            <sz val="9"/>
            <color indexed="81"/>
            <rFont val="Tahoma"/>
            <family val="2"/>
          </rPr>
          <t xml:space="preserve">
Población en control: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
Ejemplo;</t>
        </r>
        <r>
          <rPr>
            <b/>
            <sz val="9"/>
            <color indexed="81"/>
            <rFont val="Tahoma"/>
            <family val="2"/>
          </rPr>
          <t xml:space="preserve">
"Si desde la fecha del Próximo Control registrada en el Formulario de Control de Salud Mental Transcurren 45 días sin actualización de Fecha de Control, este paciente no será considerado en la población bajo control hasta activarlo nuevamente seleccionando el campo Estado en su patología con los valores Reingreso o Seguimiento"
</t>
        </r>
      </text>
    </comment>
    <comment ref="C25" authorId="5" shapeId="0" xr:uid="{FE361297-2547-43F0-ABF7-88886F7B73F5}">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Leve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t>
        </r>
      </text>
    </comment>
    <comment ref="C26" authorId="5" shapeId="0" xr:uid="{90F29B65-A311-4107-8674-876C35CAC006}">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Moderada
</t>
        </r>
        <r>
          <rPr>
            <sz val="9"/>
            <color indexed="81"/>
            <rFont val="Tahoma"/>
            <family val="2"/>
          </rPr>
          <t>Y</t>
        </r>
        <r>
          <rPr>
            <b/>
            <sz val="9"/>
            <color indexed="81"/>
            <rFont val="Tahoma"/>
            <family val="2"/>
          </rPr>
          <t xml:space="preserve"> </t>
        </r>
        <r>
          <rPr>
            <sz val="9"/>
            <color indexed="81"/>
            <rFont val="Tahoma"/>
            <family val="2"/>
          </rPr>
          <t>registrar en el Campo</t>
        </r>
        <r>
          <rPr>
            <b/>
            <sz val="9"/>
            <color indexed="81"/>
            <rFont val="Tahoma"/>
            <family val="2"/>
          </rPr>
          <t xml:space="preserve"> Fecha Próximo Control</t>
        </r>
        <r>
          <rPr>
            <sz val="9"/>
            <color indexed="81"/>
            <rFont val="Tahoma"/>
            <family val="2"/>
          </rPr>
          <t xml:space="preserve"> una fecha aproximada de su control.
</t>
        </r>
      </text>
    </comment>
    <comment ref="C27" authorId="5" shapeId="0" xr:uid="{DF01520E-1C83-4290-AF4B-D1C835A820C2}">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Grave
</t>
        </r>
        <r>
          <rPr>
            <sz val="9"/>
            <color indexed="81"/>
            <rFont val="Tahoma"/>
            <family val="2"/>
          </rPr>
          <t xml:space="preserve">Y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28" authorId="5" shapeId="0" xr:uid="{5382B139-4628-4C0E-8962-1AAD5C540EDF}">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 Post - Parto?</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29" authorId="5" shapeId="0" xr:uid="{70357A74-A09A-4FF7-99F9-89C3962FF265}">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 Bipolar?</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además registrar en el Campo </t>
        </r>
        <r>
          <rPr>
            <b/>
            <sz val="9"/>
            <color indexed="81"/>
            <rFont val="Tahoma"/>
            <family val="2"/>
          </rPr>
          <t>Fecha Próximo Control</t>
        </r>
        <r>
          <rPr>
            <sz val="9"/>
            <color indexed="81"/>
            <rFont val="Tahoma"/>
            <family val="2"/>
          </rPr>
          <t xml:space="preserve"> una fecha aproximada de su control.
</t>
        </r>
      </text>
    </comment>
    <comment ref="C30" authorId="3" shapeId="0" xr:uid="{4F5B19F2-3285-423F-94C8-CFCF2FDD9021}">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
 y en el   </t>
        </r>
        <r>
          <rPr>
            <b/>
            <sz val="9"/>
            <color indexed="81"/>
            <rFont val="Tahoma"/>
            <family val="2"/>
          </rPr>
          <t xml:space="preserve">Formulario Control  De Salud Mental </t>
        </r>
        <r>
          <rPr>
            <sz val="9"/>
            <color indexed="81"/>
            <rFont val="Tahoma"/>
            <family val="2"/>
          </rPr>
          <t xml:space="preserve">en la sección </t>
        </r>
        <r>
          <rPr>
            <b/>
            <sz val="9"/>
            <color indexed="81"/>
            <rFont val="Tahoma"/>
            <family val="2"/>
          </rPr>
          <t xml:space="preserve"> Diagnósticos de Trastornos Mentales en sección Trastornos Mentales y del Comportamiento Debido a Consumo Sustancias Psicotrópicas
</t>
        </r>
        <r>
          <rPr>
            <sz val="9"/>
            <color indexed="81"/>
            <rFont val="Tahoma"/>
            <family val="2"/>
          </rPr>
          <t>en el campo</t>
        </r>
        <r>
          <rPr>
            <b/>
            <sz val="9"/>
            <color indexed="81"/>
            <rFont val="Tahoma"/>
            <family val="2"/>
          </rPr>
          <t xml:space="preserve">  ¿Consumo Perjudicial de Alcohol?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t>
        </r>
        <r>
          <rPr>
            <b/>
            <sz val="9"/>
            <color indexed="81"/>
            <rFont val="Tahoma"/>
            <family val="2"/>
          </rPr>
          <t xml:space="preserve"> Ingreso, Reingreso y Seguimiento</t>
        </r>
        <r>
          <rPr>
            <sz val="9"/>
            <color indexed="81"/>
            <rFont val="Tahoma"/>
            <family val="2"/>
          </rPr>
          <t xml:space="preserve">  en el campo </t>
        </r>
        <r>
          <rPr>
            <b/>
            <sz val="9"/>
            <color indexed="81"/>
            <rFont val="Tahoma"/>
            <family val="2"/>
          </rPr>
          <t>Estado.
Y además registrar en el Campo Fecha Próximo Control una fecha aproximada de su control."</t>
        </r>
      </text>
    </comment>
    <comment ref="C31" authorId="3" shapeId="0" xr:uid="{2C45BB0B-821A-4501-94AF-5052A3358D17}">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 y en el</t>
        </r>
        <r>
          <rPr>
            <b/>
            <sz val="9"/>
            <color indexed="81"/>
            <rFont val="Tahoma"/>
            <family val="2"/>
          </rPr>
          <t xml:space="preserve"> Formulario 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sección</t>
        </r>
        <r>
          <rPr>
            <b/>
            <sz val="9"/>
            <color indexed="81"/>
            <rFont val="Tahoma"/>
            <family val="2"/>
          </rPr>
          <t xml:space="preserve"> Trastornos Mentales y del Comportamiento Debido a Consumo Sustancias Psicotrópicas
</t>
        </r>
        <r>
          <rPr>
            <sz val="9"/>
            <color indexed="81"/>
            <rFont val="Tahoma"/>
            <family val="2"/>
          </rPr>
          <t xml:space="preserve">en el campo </t>
        </r>
        <r>
          <rPr>
            <b/>
            <sz val="9"/>
            <color indexed="81"/>
            <rFont val="Tahoma"/>
            <family val="2"/>
          </rPr>
          <t xml:space="preserve"> ¿Consumo Dependiente del Alcohol?  </t>
        </r>
        <r>
          <rPr>
            <sz val="9"/>
            <color indexed="81"/>
            <rFont val="Tahoma"/>
            <family val="2"/>
          </rPr>
          <t>debe seleccionar</t>
        </r>
        <r>
          <rPr>
            <b/>
            <sz val="9"/>
            <color indexed="81"/>
            <rFont val="Tahoma"/>
            <family val="2"/>
          </rPr>
          <t xml:space="preserve"> "Si" y </t>
        </r>
        <r>
          <rPr>
            <sz val="9"/>
            <color indexed="81"/>
            <rFont val="Tahoma"/>
            <family val="2"/>
          </rPr>
          <t>tener registrado</t>
        </r>
        <r>
          <rPr>
            <b/>
            <sz val="9"/>
            <color indexed="81"/>
            <rFont val="Tahoma"/>
            <family val="2"/>
          </rPr>
          <t xml:space="preserve"> Ingreso, Reingreso y Seguimiento  </t>
        </r>
        <r>
          <rPr>
            <sz val="9"/>
            <color indexed="81"/>
            <rFont val="Tahoma"/>
            <family val="2"/>
          </rPr>
          <t xml:space="preserve">en el campo </t>
        </r>
        <r>
          <rPr>
            <b/>
            <sz val="9"/>
            <color indexed="81"/>
            <rFont val="Tahoma"/>
            <family val="2"/>
          </rPr>
          <t xml:space="preserve">Estado.
Y además registrar en el Campo Fecha Próximo Control una fecha aproximada de su control.
</t>
        </r>
      </text>
    </comment>
    <comment ref="C32" authorId="3" shapeId="0" xr:uid="{E9A3C958-8235-4724-947F-8E9A16DC114C}">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Diagnósticos de Trastornos Mentales </t>
        </r>
        <r>
          <rPr>
            <sz val="9"/>
            <color indexed="81"/>
            <rFont val="Tahoma"/>
            <family val="2"/>
          </rPr>
          <t>en sección</t>
        </r>
        <r>
          <rPr>
            <b/>
            <sz val="9"/>
            <color indexed="81"/>
            <rFont val="Tahoma"/>
            <family val="2"/>
          </rPr>
          <t xml:space="preserve"> Trastornos Mentales y del Comportamiento Debido a Consumo Sustancias Psicotrópicas
</t>
        </r>
        <r>
          <rPr>
            <sz val="9"/>
            <color indexed="81"/>
            <rFont val="Tahoma"/>
            <family val="2"/>
          </rPr>
          <t xml:space="preserve">en el campo </t>
        </r>
        <r>
          <rPr>
            <b/>
            <sz val="9"/>
            <color indexed="81"/>
            <rFont val="Tahoma"/>
            <family val="2"/>
          </rPr>
          <t xml:space="preserve">¿Consumo Perjudicial de Drogas?  </t>
        </r>
        <r>
          <rPr>
            <sz val="9"/>
            <color indexed="81"/>
            <rFont val="Tahoma"/>
            <family val="2"/>
          </rPr>
          <t>debe seleccionar</t>
        </r>
        <r>
          <rPr>
            <b/>
            <sz val="9"/>
            <color indexed="81"/>
            <rFont val="Tahoma"/>
            <family val="2"/>
          </rPr>
          <t xml:space="preserve"> "Si"</t>
        </r>
        <r>
          <rPr>
            <sz val="9"/>
            <color indexed="81"/>
            <rFont val="Tahoma"/>
            <family val="2"/>
          </rPr>
          <t xml:space="preserve"> y tener registrado </t>
        </r>
        <r>
          <rPr>
            <b/>
            <sz val="9"/>
            <color indexed="81"/>
            <rFont val="Tahoma"/>
            <family val="2"/>
          </rPr>
          <t xml:space="preserve">Ingreso, Reingreso y Seguimiento  </t>
        </r>
        <r>
          <rPr>
            <sz val="9"/>
            <color indexed="81"/>
            <rFont val="Tahoma"/>
            <family val="2"/>
          </rPr>
          <t>en el campo</t>
        </r>
        <r>
          <rPr>
            <b/>
            <sz val="9"/>
            <color indexed="81"/>
            <rFont val="Tahoma"/>
            <family val="2"/>
          </rPr>
          <t xml:space="preserve"> Estado.
Y además registrar en el Campo Fecha Próximo Control una fecha aproximada de su control.</t>
        </r>
      </text>
    </comment>
    <comment ref="C33" authorId="3" shapeId="0" xr:uid="{BF0172D1-4835-4754-A9B1-AF4D1438DB2E}">
      <text>
        <r>
          <rPr>
            <sz val="9"/>
            <color indexed="81"/>
            <rFont val="Tahoma"/>
            <family val="2"/>
          </rPr>
          <t xml:space="preserve">Este dato aparecerá  luego de que en la atención registrada Por Estamento Médico 
Registrada en el </t>
        </r>
        <r>
          <rPr>
            <b/>
            <sz val="9"/>
            <color indexed="81"/>
            <rFont val="Tahoma"/>
            <family val="2"/>
          </rPr>
          <t>Módulo Box - Pacientes Citados  o en Agregar documentos a una atención</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sección </t>
        </r>
        <r>
          <rPr>
            <b/>
            <sz val="9"/>
            <color indexed="81"/>
            <rFont val="Tahoma"/>
            <family val="2"/>
          </rPr>
          <t>Trastornos Mentales y del Comportamiento Debido a Consumo Sustancias Psicotrópicas</t>
        </r>
        <r>
          <rPr>
            <sz val="9"/>
            <color indexed="81"/>
            <rFont val="Tahoma"/>
            <family val="2"/>
          </rPr>
          <t xml:space="preserve">
en el campo </t>
        </r>
        <r>
          <rPr>
            <b/>
            <sz val="9"/>
            <color indexed="81"/>
            <rFont val="Tahoma"/>
            <family val="2"/>
          </rPr>
          <t>¿Consumo Dependiente de Drogas?</t>
        </r>
        <r>
          <rPr>
            <sz val="9"/>
            <color indexed="81"/>
            <rFont val="Tahoma"/>
            <family val="2"/>
          </rPr>
          <t xml:space="preserve">  debe seleccionar "</t>
        </r>
        <r>
          <rPr>
            <b/>
            <sz val="9"/>
            <color indexed="81"/>
            <rFont val="Tahoma"/>
            <family val="2"/>
          </rPr>
          <t>Si"</t>
        </r>
        <r>
          <rPr>
            <sz val="9"/>
            <color indexed="81"/>
            <rFont val="Tahoma"/>
            <family val="2"/>
          </rPr>
          <t xml:space="preserve"> y tener registrado</t>
        </r>
        <r>
          <rPr>
            <b/>
            <sz val="9"/>
            <color indexed="81"/>
            <rFont val="Tahoma"/>
            <family val="2"/>
          </rPr>
          <t xml:space="preserve"> Ingreso, Reingreso y Seguimiento  </t>
        </r>
        <r>
          <rPr>
            <sz val="9"/>
            <color indexed="81"/>
            <rFont val="Tahoma"/>
            <family val="2"/>
          </rPr>
          <t>en el campo</t>
        </r>
        <r>
          <rPr>
            <b/>
            <sz val="9"/>
            <color indexed="81"/>
            <rFont val="Tahoma"/>
            <family val="2"/>
          </rPr>
          <t xml:space="preserve"> Estado.
Y además registrar en el Campo Fecha Próximo Control una fecha aproximada de su control.</t>
        </r>
      </text>
    </comment>
    <comment ref="C34" authorId="3" shapeId="0" xr:uid="{836CB5D9-068C-4ACD-AE59-3D91F8FB5354}">
      <text>
        <r>
          <rPr>
            <sz val="9"/>
            <color indexed="81"/>
            <rFont val="Tahoma"/>
            <family val="2"/>
          </rPr>
          <t>Este dato aparecerá  luego de que en la atención registrada Por Estamento Médico 
Registrada en el</t>
        </r>
        <r>
          <rPr>
            <b/>
            <sz val="9"/>
            <color indexed="81"/>
            <rFont val="Tahoma"/>
            <family val="2"/>
          </rPr>
          <t xml:space="preserve"> Módulo Box - Pacientes Citados  o en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sección </t>
        </r>
        <r>
          <rPr>
            <b/>
            <sz val="9"/>
            <color indexed="81"/>
            <rFont val="Tahoma"/>
            <family val="2"/>
          </rPr>
          <t>Trastornos Mentales y del Comportamiento Debido a Consumo Sustancias Psicotrópicas</t>
        </r>
        <r>
          <rPr>
            <sz val="9"/>
            <color indexed="81"/>
            <rFont val="Tahoma"/>
            <family val="2"/>
          </rPr>
          <t xml:space="preserve">
en el campo </t>
        </r>
        <r>
          <rPr>
            <b/>
            <sz val="9"/>
            <color indexed="81"/>
            <rFont val="Tahoma"/>
            <family val="2"/>
          </rPr>
          <t>¿Consumo De Drogas y Alcohol?</t>
        </r>
        <r>
          <rPr>
            <sz val="9"/>
            <color indexed="81"/>
            <rFont val="Tahoma"/>
            <family val="2"/>
          </rPr>
          <t xml:space="preserve">  debe seleccionar </t>
        </r>
        <r>
          <rPr>
            <b/>
            <sz val="9"/>
            <color indexed="81"/>
            <rFont val="Tahoma"/>
            <family val="2"/>
          </rPr>
          <t>"Si"</t>
        </r>
        <r>
          <rPr>
            <sz val="9"/>
            <color indexed="81"/>
            <rFont val="Tahoma"/>
            <family val="2"/>
          </rPr>
          <t xml:space="preserve"> y tener registrado I</t>
        </r>
        <r>
          <rPr>
            <b/>
            <sz val="9"/>
            <color indexed="81"/>
            <rFont val="Tahoma"/>
            <family val="2"/>
          </rPr>
          <t>ngreso, Reingreso y Seguimiento  en el campo Estado.
Y además registrar en el Campo Fecha Próximo Control una fecha aproximada de su control.</t>
        </r>
      </text>
    </comment>
    <comment ref="C35" authorId="5" shapeId="0" xr:uid="{241F0033-1AB1-4F04-8EE1-34AFFDD3CFE5}">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Hipercinéticos, de la Actividad y la Atención?</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6" authorId="5" shapeId="0" xr:uid="{49F2A4AA-1337-47C1-BD05-B9EA44484DE7}">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Y</t>
        </r>
        <r>
          <rPr>
            <b/>
            <sz val="9"/>
            <color indexed="81"/>
            <rFont val="Tahoma"/>
            <family val="2"/>
          </rPr>
          <t xml:space="preserve">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Disocial desafiante y oposicionista?</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7" authorId="5" shapeId="0" xr:uid="{368E84DC-6643-4EEA-8FA4-BD6DBE042C03}">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de Ansiedad de Separación en la Infancia?</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8" authorId="5" shapeId="0" xr:uid="{3B46AF9C-A153-4B31-AD5B-7853B8BBB4AE}">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Otros trastornos del comportamiento y de las emociones de comienzo habitual en la Infancia y Adolescencia? </t>
        </r>
        <r>
          <rPr>
            <sz val="9"/>
            <color indexed="81"/>
            <rFont val="Tahoma"/>
            <family val="2"/>
          </rPr>
          <t xml:space="preserve">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9" authorId="3" shapeId="0" xr:uid="{E1E6FA17-C144-4EA7-867A-AA40443E9AA8}">
      <text>
        <r>
          <rPr>
            <sz val="9"/>
            <color indexed="81"/>
            <rFont val="Tahoma"/>
            <family val="2"/>
          </rPr>
          <t>Se considerara como Poblacion Bajo Control a aquellos que cumplan con alguna de estas condiciones:
Este dato aparecerá  luego de que en la atención</t>
        </r>
        <r>
          <rPr>
            <b/>
            <sz val="9"/>
            <color indexed="81"/>
            <rFont val="Tahoma"/>
            <family val="2"/>
          </rPr>
          <t xml:space="preserve"> Registrada en el Módulo Box</t>
        </r>
        <r>
          <rPr>
            <sz val="9"/>
            <color indexed="81"/>
            <rFont val="Tahoma"/>
            <family val="2"/>
          </rPr>
          <t xml:space="preserve"> - </t>
        </r>
        <r>
          <rPr>
            <b/>
            <sz val="9"/>
            <color indexed="81"/>
            <rFont val="Tahoma"/>
            <family val="2"/>
          </rPr>
          <t>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t>
        </r>
        <r>
          <rPr>
            <b/>
            <sz val="9"/>
            <color indexed="81"/>
            <rFont val="Tahoma"/>
            <family val="2"/>
          </rPr>
          <t xml:space="preserve">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t>
        </r>
        <r>
          <rPr>
            <b/>
            <sz val="9"/>
            <color indexed="81"/>
            <rFont val="Tahoma"/>
            <family val="2"/>
          </rPr>
          <t xml:space="preserve"> Tipo de Trastorno de Ansiedad</t>
        </r>
        <r>
          <rPr>
            <sz val="9"/>
            <color indexed="81"/>
            <rFont val="Tahoma"/>
            <family val="2"/>
          </rPr>
          <t xml:space="preserve"> debe selecionar el valor </t>
        </r>
        <r>
          <rPr>
            <b/>
            <sz val="9"/>
            <color indexed="81"/>
            <rFont val="Tahoma"/>
            <family val="2"/>
          </rPr>
          <t xml:space="preserve">Trastorno  de Estrés Post Traumatico
</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40" authorId="3" shapeId="0" xr:uid="{2C10AAF6-9D45-4494-B98F-C45A45622410}">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t>
        </r>
        <r>
          <rPr>
            <b/>
            <sz val="9"/>
            <color indexed="81"/>
            <rFont val="Tahoma"/>
            <family val="2"/>
          </rPr>
          <t xml:space="preserve"> sección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Trastorno de Pánico</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41" authorId="3" shapeId="0" xr:uid="{142ACF79-9478-4888-9223-7A0678E53B1E}">
      <text>
        <r>
          <rPr>
            <sz val="9"/>
            <color indexed="81"/>
            <rFont val="Tahoma"/>
            <family val="2"/>
          </rPr>
          <t xml:space="preserve">Se considerara como Poblacion Bajo Control 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 ó Agregar Documentos a una Atención
 y en el </t>
        </r>
        <r>
          <rPr>
            <b/>
            <sz val="9"/>
            <color indexed="81"/>
            <rFont val="Tahoma"/>
            <family val="2"/>
          </rPr>
          <t xml:space="preserve">Formulario 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 Tipo de </t>
        </r>
        <r>
          <rPr>
            <b/>
            <sz val="9"/>
            <color indexed="81"/>
            <rFont val="Tahoma"/>
            <family val="2"/>
          </rPr>
          <t>Trastorno de Ansiedad</t>
        </r>
        <r>
          <rPr>
            <sz val="9"/>
            <color indexed="81"/>
            <rFont val="Tahoma"/>
            <family val="2"/>
          </rPr>
          <t xml:space="preserve"> debe selecionar el valor</t>
        </r>
        <r>
          <rPr>
            <b/>
            <sz val="9"/>
            <color indexed="81"/>
            <rFont val="Tahoma"/>
            <family val="2"/>
          </rPr>
          <t xml:space="preserve"> Fobias Sociales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42" authorId="3" shapeId="0" xr:uid="{DA39671A-0A64-4BE7-BC68-0300E37ED4CF}">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t>
        </r>
        <r>
          <rPr>
            <b/>
            <sz val="9"/>
            <color indexed="81"/>
            <rFont val="Tahoma"/>
            <family val="2"/>
          </rPr>
          <t xml:space="preserve">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
Ademas en el campo </t>
        </r>
        <r>
          <rPr>
            <b/>
            <sz val="9"/>
            <color indexed="81"/>
            <rFont val="Tahoma"/>
            <family val="2"/>
          </rPr>
          <t>Tipo de Trastorno de Ansiedad</t>
        </r>
        <r>
          <rPr>
            <sz val="9"/>
            <color indexed="81"/>
            <rFont val="Tahoma"/>
            <family val="2"/>
          </rPr>
          <t xml:space="preserve"> debe selecionar el valor</t>
        </r>
        <r>
          <rPr>
            <b/>
            <sz val="9"/>
            <color indexed="81"/>
            <rFont val="Tahoma"/>
            <family val="2"/>
          </rPr>
          <t xml:space="preserve"> Trastorno de Ansiedad Generalizada</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43" authorId="3" shapeId="0" xr:uid="{E9662230-E0D1-41F6-BBD3-36AB770C9F88}">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
Ademas en el campo</t>
        </r>
        <r>
          <rPr>
            <b/>
            <sz val="9"/>
            <color indexed="81"/>
            <rFont val="Tahoma"/>
            <family val="2"/>
          </rPr>
          <t xml:space="preserve"> Tipo de Trastorno de Ansiedad </t>
        </r>
        <r>
          <rPr>
            <sz val="9"/>
            <color indexed="81"/>
            <rFont val="Tahoma"/>
            <family val="2"/>
          </rPr>
          <t xml:space="preserve">debe selecionar el valor </t>
        </r>
        <r>
          <rPr>
            <b/>
            <sz val="9"/>
            <color indexed="81"/>
            <rFont val="Tahoma"/>
            <family val="2"/>
          </rPr>
          <t>Otros Trastornos de Ansiedad</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44" authorId="6" shapeId="0" xr:uid="{10D70F79-63D3-4DE6-B46D-6B1C9AD85054}">
      <text>
        <r>
          <rPr>
            <sz val="9"/>
            <color indexed="81"/>
            <rFont val="Tahoma"/>
            <family val="2"/>
          </rPr>
          <t>Se considerara como</t>
        </r>
        <r>
          <rPr>
            <b/>
            <sz val="9"/>
            <color indexed="81"/>
            <rFont val="Tahoma"/>
            <family val="2"/>
          </rPr>
          <t xml:space="preserve"> 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 </t>
        </r>
        <r>
          <rPr>
            <b/>
            <sz val="9"/>
            <color indexed="81"/>
            <rFont val="Tahoma"/>
            <family val="2"/>
          </rPr>
          <t xml:space="preserve">Leve
</t>
        </r>
        <r>
          <rPr>
            <sz val="9"/>
            <color indexed="81"/>
            <rFont val="Tahoma"/>
            <family val="2"/>
          </rPr>
          <t xml:space="preserve">
Y registrar en el Campo </t>
        </r>
        <r>
          <rPr>
            <b/>
            <sz val="9"/>
            <color indexed="81"/>
            <rFont val="Tahoma"/>
            <family val="2"/>
          </rPr>
          <t>Fecha Próximo Control una</t>
        </r>
        <r>
          <rPr>
            <sz val="9"/>
            <color indexed="81"/>
            <rFont val="Tahoma"/>
            <family val="2"/>
          </rPr>
          <t xml:space="preserve"> fecha aproximada de su control.
</t>
        </r>
      </text>
    </comment>
    <comment ref="C45" authorId="6" shapeId="0" xr:uid="{ECDAFE31-889D-490A-BBF2-1F403D730DC1}">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y que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ademas que en el campo </t>
        </r>
        <r>
          <rPr>
            <b/>
            <sz val="9"/>
            <color indexed="81"/>
            <rFont val="Tahoma"/>
            <family val="2"/>
          </rPr>
          <t>Etapa</t>
        </r>
        <r>
          <rPr>
            <sz val="9"/>
            <color indexed="81"/>
            <rFont val="Tahoma"/>
            <family val="2"/>
          </rPr>
          <t xml:space="preserve"> tenga incorporado: </t>
        </r>
        <r>
          <rPr>
            <b/>
            <sz val="9"/>
            <color indexed="81"/>
            <rFont val="Tahoma"/>
            <family val="2"/>
          </rPr>
          <t>Moderado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text>
    </comment>
    <comment ref="C46" authorId="6" shapeId="0" xr:uid="{FDABBA1E-DB63-4E0F-A728-205A25FB6843}">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t>
        </r>
        <r>
          <rPr>
            <b/>
            <sz val="9"/>
            <color indexed="81"/>
            <rFont val="Tahoma"/>
            <family val="2"/>
          </rPr>
          <t xml:space="preserve"> Avanzado
</t>
        </r>
        <r>
          <rPr>
            <sz val="9"/>
            <color indexed="81"/>
            <rFont val="Tahoma"/>
            <family val="2"/>
          </rPr>
          <t xml:space="preserve">Y registrar en el Campo </t>
        </r>
        <r>
          <rPr>
            <b/>
            <sz val="9"/>
            <color indexed="81"/>
            <rFont val="Tahoma"/>
            <family val="2"/>
          </rPr>
          <t>Fecha Próximo Control</t>
        </r>
        <r>
          <rPr>
            <sz val="9"/>
            <color indexed="81"/>
            <rFont val="Tahoma"/>
            <family val="2"/>
          </rPr>
          <t xml:space="preserve"> una fecha aproximada de su control.
</t>
        </r>
        <r>
          <rPr>
            <sz val="9"/>
            <color indexed="81"/>
            <rFont val="Tahoma"/>
            <family val="2"/>
          </rPr>
          <t xml:space="preserve">
</t>
        </r>
      </text>
    </comment>
    <comment ref="C47" authorId="5" shapeId="0" xr:uid="{78AE79B5-FA07-4C9A-9B34-40933C360A07}">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Esquizofrenia?</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text>
    </comment>
    <comment ref="C48" authorId="3" shapeId="0" xr:uid="{A408C49B-6AAD-40D7-8CF7-5F45C76F89E6}">
      <text>
        <r>
          <rPr>
            <sz val="9"/>
            <color indexed="81"/>
            <rFont val="Tahoma"/>
            <family val="2"/>
          </rPr>
          <t xml:space="preserve">Este dato aparecerá  luego de que en la atención registrada Por Estamento Médico 
Registrada en el </t>
        </r>
        <r>
          <rPr>
            <b/>
            <sz val="9"/>
            <color indexed="81"/>
            <rFont val="Tahoma"/>
            <family val="2"/>
          </rPr>
          <t>Módulo Box - Pacientes Citados  o en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Adaptativo?</t>
        </r>
        <r>
          <rPr>
            <sz val="9"/>
            <color indexed="81"/>
            <rFont val="Tahoma"/>
            <family val="2"/>
          </rPr>
          <t xml:space="preserve"> tenga el Valor </t>
        </r>
        <r>
          <rPr>
            <b/>
            <sz val="9"/>
            <color indexed="81"/>
            <rFont val="Tahoma"/>
            <family val="2"/>
          </rPr>
          <t>Si,</t>
        </r>
        <r>
          <rPr>
            <sz val="9"/>
            <color indexed="81"/>
            <rFont val="Tahoma"/>
            <family val="2"/>
          </rPr>
          <t xml:space="preserve"> además que tenga en el Campo</t>
        </r>
        <r>
          <rPr>
            <b/>
            <sz val="9"/>
            <color indexed="81"/>
            <rFont val="Tahoma"/>
            <family val="2"/>
          </rPr>
          <t xml:space="preserve"> Estado</t>
        </r>
        <r>
          <rPr>
            <sz val="9"/>
            <color indexed="81"/>
            <rFont val="Tahoma"/>
            <family val="2"/>
          </rPr>
          <t xml:space="preserve"> el valor</t>
        </r>
        <r>
          <rPr>
            <b/>
            <sz val="9"/>
            <color indexed="81"/>
            <rFont val="Tahoma"/>
            <family val="2"/>
          </rPr>
          <t xml:space="preserve"> Ingreso , Reingreso o Seguimiento.
Y registrar en el Campo Fecha Próximo Control una fecha aproximada de su control.</t>
        </r>
      </text>
    </comment>
    <comment ref="C49" authorId="5" shapeId="0" xr:uid="{A57F6D84-AC3D-4F64-8C57-382AF16D024B}">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Módulo Box - Pacientes Citados ó Registrada en el </t>
        </r>
        <r>
          <rPr>
            <b/>
            <sz val="9"/>
            <color indexed="81"/>
            <rFont val="Tahoma"/>
            <family val="2"/>
          </rPr>
          <t>Módulo Box - Agregar Documentos a una Atención</t>
        </r>
        <r>
          <rPr>
            <sz val="9"/>
            <color indexed="81"/>
            <rFont val="Tahoma"/>
            <family val="2"/>
          </rPr>
          <t xml:space="preserve">
En el F</t>
        </r>
        <r>
          <rPr>
            <b/>
            <sz val="9"/>
            <color indexed="81"/>
            <rFont val="Tahoma"/>
            <family val="2"/>
          </rPr>
          <t xml:space="preserve">ormulario Control de Salud Mental </t>
        </r>
        <r>
          <rPr>
            <sz val="9"/>
            <color indexed="81"/>
            <rFont val="Tahoma"/>
            <family val="2"/>
          </rPr>
          <t xml:space="preserve">en el Campo </t>
        </r>
        <r>
          <rPr>
            <b/>
            <sz val="9"/>
            <color indexed="81"/>
            <rFont val="Tahoma"/>
            <family val="2"/>
          </rPr>
          <t xml:space="preserve">¿Primer Episodio Esquizofrenia con Ocupación Regular? </t>
        </r>
        <r>
          <rPr>
            <sz val="9"/>
            <color indexed="81"/>
            <rFont val="Tahoma"/>
            <family val="2"/>
          </rPr>
          <t xml:space="preserve">tenga el Valor SI y en el Campo Estado los Valores </t>
        </r>
        <r>
          <rPr>
            <b/>
            <sz val="9"/>
            <color indexed="81"/>
            <rFont val="Tahoma"/>
            <family val="2"/>
          </rPr>
          <t xml:space="preserve">Ingreso, Reingreso o 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50" authorId="5" shapeId="0" xr:uid="{C7D04DD7-4BA1-47B6-879E-FD4DA472E5D9}">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retraso mental?</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Reingreso o Seguimiento.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51" authorId="5" shapeId="0" xr:uid="{793FA31E-9C52-48D2-9C97-9EAC523B4161}">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Trastorno de Personalidad? </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Reingreso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
</t>
        </r>
      </text>
    </comment>
    <comment ref="C52" authorId="1" shapeId="0" xr:uid="{8074BB5A-6376-452F-8691-7A9ACE08114D}">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t>
        </r>
        <r>
          <rPr>
            <sz val="9"/>
            <color indexed="81"/>
            <rFont val="Tahoma"/>
            <family val="2"/>
          </rPr>
          <t>en sección</t>
        </r>
        <r>
          <rPr>
            <b/>
            <sz val="9"/>
            <color indexed="81"/>
            <rFont val="Tahoma"/>
            <family val="2"/>
          </rPr>
          <t xml:space="preserve"> Trastornos del Desarrollo</t>
        </r>
        <r>
          <rPr>
            <sz val="9"/>
            <color indexed="81"/>
            <rFont val="Tahoma"/>
            <family val="2"/>
          </rPr>
          <t xml:space="preserve"> en el campo</t>
        </r>
        <r>
          <rPr>
            <b/>
            <sz val="9"/>
            <color indexed="81"/>
            <rFont val="Tahoma"/>
            <family val="2"/>
          </rPr>
          <t xml:space="preserve"> ¿Tiene Autismo?</t>
        </r>
        <r>
          <rPr>
            <sz val="9"/>
            <color indexed="81"/>
            <rFont val="Tahoma"/>
            <family val="2"/>
          </rPr>
          <t xml:space="preserve"> tenga el valor</t>
        </r>
        <r>
          <rPr>
            <b/>
            <sz val="9"/>
            <color indexed="81"/>
            <rFont val="Tahoma"/>
            <family val="2"/>
          </rPr>
          <t xml:space="preserve"> SI</t>
        </r>
        <r>
          <rPr>
            <sz val="9"/>
            <color indexed="81"/>
            <rFont val="Tahoma"/>
            <family val="2"/>
          </rPr>
          <t xml:space="preserve"> y en campo</t>
        </r>
        <r>
          <rPr>
            <b/>
            <sz val="9"/>
            <color indexed="81"/>
            <rFont val="Tahoma"/>
            <family val="2"/>
          </rPr>
          <t xml:space="preserve"> Estado </t>
        </r>
        <r>
          <rPr>
            <sz val="9"/>
            <color indexed="81"/>
            <rFont val="Tahoma"/>
            <family val="2"/>
          </rPr>
          <t>los Valores</t>
        </r>
        <r>
          <rPr>
            <b/>
            <sz val="9"/>
            <color indexed="81"/>
            <rFont val="Tahoma"/>
            <family val="2"/>
          </rPr>
          <t xml:space="preserve">: Ingreso, Reingreso Seguimiento
Y registrar en el Campo Fecha Próximo Control una fecha aproximada de su control.
</t>
        </r>
      </text>
    </comment>
    <comment ref="C53" authorId="1" shapeId="0" xr:uid="{2A17D7FC-5CB8-4FCD-A8E4-9A5616657FF1}">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 ¿Tiene Asperger? tenga el valor SI y en campo Estado los Valores: Ingreso, Reingreso o Seguimiento
Y registrar en el Campo Fecha Próximo Control una fecha aproximada de su control.
</t>
        </r>
      </text>
    </comment>
    <comment ref="C54" authorId="1" shapeId="0" xr:uid="{62E6441D-21CF-4241-9D47-C25E74028AA7}">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Formulario Control de Salud Mental en sección Trastornos del Desarrollo en el campo ¿Tiene Sindrome de Rett? tenga el valor SI y en campo Estado los Valores: Ingreso, Reingreso o Seguimiento
Y registrar en el Campo Fecha Próximo Control una fecha aproximada de su control.</t>
        </r>
      </text>
    </comment>
    <comment ref="C55" authorId="1" shapeId="0" xr:uid="{29145C01-469F-4AE0-984C-F67666257DEB}">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 ¿Tiene trastorno desintegrativo de la infancia? tenga el valor SI y en campo Estado los Valores: Ingreso o Seguimiento
Y registrar en el Campo Fecha Próximo Control una fecha aproximada de su control.
</t>
        </r>
      </text>
    </comment>
    <comment ref="C56" authorId="1" shapeId="0" xr:uid="{D4E5F0B2-A9DD-45F4-A255-33DAE042112A}">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campo¿Tiene trastorno generalizado del desarrollo de la infancia? tenga el valor SI y en campo Estado los Valores: Ingreso, Reingreso o Seguimiento
Y registrar en el Campo Fecha Próximo Control una fecha aproximada de su control.
</t>
        </r>
      </text>
    </comment>
    <comment ref="C57" authorId="3" shapeId="0" xr:uid="{A63E03B6-25F8-4599-A944-60FAA1926389}">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Epilepsia?  </t>
        </r>
        <r>
          <rPr>
            <sz val="9"/>
            <color indexed="81"/>
            <rFont val="Tahoma"/>
            <family val="2"/>
          </rPr>
          <t>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Ingreso, Reingreso o Seguimiento.</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58" authorId="6" shapeId="0" xr:uid="{157E1C92-BB24-4489-AF3E-01CF1216FB5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t>
        </r>
        <r>
          <rPr>
            <b/>
            <sz val="9"/>
            <color indexed="81"/>
            <rFont val="Tahoma"/>
            <family val="2"/>
          </rPr>
          <t xml:space="preserve">
</t>
        </r>
        <r>
          <rPr>
            <sz val="9"/>
            <color indexed="81"/>
            <rFont val="Tahoma"/>
            <family val="2"/>
          </rPr>
          <t>Este dato aparecerá  luego de que en la atención Registrada en el</t>
        </r>
        <r>
          <rPr>
            <b/>
            <sz val="9"/>
            <color indexed="81"/>
            <rFont val="Tahoma"/>
            <family val="2"/>
          </rPr>
          <t xml:space="preserve"> Módulo Box - Pacientes Citados </t>
        </r>
        <r>
          <rPr>
            <sz val="9"/>
            <color indexed="81"/>
            <rFont val="Tahoma"/>
            <family val="2"/>
          </rPr>
          <t>ó Registrada</t>
        </r>
        <r>
          <rPr>
            <b/>
            <sz val="9"/>
            <color indexed="81"/>
            <rFont val="Tahoma"/>
            <family val="2"/>
          </rPr>
          <t xml:space="preserve"> </t>
        </r>
        <r>
          <rPr>
            <sz val="9"/>
            <color indexed="81"/>
            <rFont val="Tahoma"/>
            <family val="2"/>
          </rPr>
          <t>en el</t>
        </r>
        <r>
          <rPr>
            <b/>
            <sz val="9"/>
            <color indexed="81"/>
            <rFont val="Tahoma"/>
            <family val="2"/>
          </rPr>
          <t xml:space="preserve"> Módulo Box - Agregar Documentos a una Atención.
</t>
        </r>
        <r>
          <rPr>
            <sz val="9"/>
            <color indexed="81"/>
            <rFont val="Tahoma"/>
            <family val="2"/>
          </rPr>
          <t>En el Formulario Control de Salud Mental en el Campo</t>
        </r>
        <r>
          <rPr>
            <b/>
            <sz val="9"/>
            <color indexed="81"/>
            <rFont val="Tahoma"/>
            <family val="2"/>
          </rPr>
          <t xml:space="preserve"> Otras (Trastornos no incluidos en esta sección), </t>
        </r>
        <r>
          <rPr>
            <sz val="9"/>
            <color indexed="81"/>
            <rFont val="Tahoma"/>
            <family val="2"/>
          </rPr>
          <t xml:space="preserve">tenga el Valor </t>
        </r>
        <r>
          <rPr>
            <b/>
            <sz val="9"/>
            <color indexed="81"/>
            <rFont val="Tahoma"/>
            <family val="2"/>
          </rPr>
          <t xml:space="preserve">Si </t>
        </r>
        <r>
          <rPr>
            <sz val="9"/>
            <color indexed="81"/>
            <rFont val="Tahoma"/>
            <family val="2"/>
          </rPr>
          <t>y que el Campo Estado los Valores sean:</t>
        </r>
        <r>
          <rPr>
            <b/>
            <sz val="9"/>
            <color indexed="81"/>
            <rFont val="Tahoma"/>
            <family val="2"/>
          </rPr>
          <t xml:space="preserve"> Ingreso, Reingreso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
</t>
        </r>
      </text>
    </comment>
    <comment ref="C63" authorId="5" shapeId="0" xr:uid="{1F223899-C660-4E96-B59B-98F311231AFE}">
      <text>
        <r>
          <rPr>
            <sz val="9"/>
            <color indexed="81"/>
            <rFont val="Tahoma"/>
            <family val="2"/>
          </rPr>
          <t xml:space="preserve">
Se considerara como </t>
        </r>
        <r>
          <rPr>
            <b/>
            <sz val="9"/>
            <color indexed="81"/>
            <rFont val="Tahoma"/>
            <family val="2"/>
          </rPr>
          <t xml:space="preserve">Números de Personas en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 Pacientes Citados ó Registrada en el 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la sección</t>
        </r>
        <r>
          <rPr>
            <b/>
            <sz val="9"/>
            <color indexed="81"/>
            <rFont val="Tahoma"/>
            <family val="2"/>
          </rPr>
          <t xml:space="preserve"> "Programa de Rehabilitación Tipo I"</t>
        </r>
        <r>
          <rPr>
            <sz val="9"/>
            <color indexed="81"/>
            <rFont val="Tahoma"/>
            <family val="2"/>
          </rPr>
          <t xml:space="preserve"> en el campo </t>
        </r>
        <r>
          <rPr>
            <b/>
            <sz val="9"/>
            <color indexed="81"/>
            <rFont val="Tahoma"/>
            <family val="2"/>
          </rPr>
          <t>Estado</t>
        </r>
        <r>
          <rPr>
            <sz val="9"/>
            <color indexed="81"/>
            <rFont val="Tahoma"/>
            <family val="2"/>
          </rPr>
          <t xml:space="preserve"> los valores sean:</t>
        </r>
        <r>
          <rPr>
            <b/>
            <sz val="9"/>
            <color indexed="81"/>
            <rFont val="Tahoma"/>
            <family val="2"/>
          </rPr>
          <t xml:space="preserve"> Ingreso o Seguimiento. 
</t>
        </r>
        <r>
          <rPr>
            <sz val="9"/>
            <color indexed="81"/>
            <rFont val="Tahoma"/>
            <family val="2"/>
          </rPr>
          <t xml:space="preserve">Y registrar en el Campo </t>
        </r>
        <r>
          <rPr>
            <b/>
            <sz val="9"/>
            <color indexed="81"/>
            <rFont val="Tahoma"/>
            <family val="2"/>
          </rPr>
          <t>Fecha Próximo Control</t>
        </r>
        <r>
          <rPr>
            <sz val="9"/>
            <color indexed="81"/>
            <rFont val="Tahoma"/>
            <family val="2"/>
          </rPr>
          <t xml:space="preserve"> una fecha aproximada de su control.</t>
        </r>
        <r>
          <rPr>
            <sz val="9"/>
            <color indexed="81"/>
            <rFont val="Tahoma"/>
            <family val="2"/>
          </rPr>
          <t xml:space="preserve">
</t>
        </r>
        <r>
          <rPr>
            <b/>
            <sz val="9"/>
            <color indexed="81"/>
            <rFont val="Tahoma"/>
            <family val="2"/>
          </rPr>
          <t xml:space="preserve">
Ref. Manual DEIS:</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64" authorId="5" shapeId="0" xr:uid="{DEA92ED0-4791-48C6-BE6F-0D13ECC36F6A}">
      <text>
        <r>
          <rPr>
            <sz val="9"/>
            <color indexed="81"/>
            <rFont val="Tahoma"/>
            <family val="2"/>
          </rPr>
          <t xml:space="preserve">Se considerara como Números de </t>
        </r>
        <r>
          <rPr>
            <b/>
            <sz val="9"/>
            <color indexed="81"/>
            <rFont val="Tahoma"/>
            <family val="2"/>
          </rPr>
          <t>Personas en Control</t>
        </r>
        <r>
          <rPr>
            <sz val="9"/>
            <color indexed="81"/>
            <rFont val="Tahoma"/>
            <family val="2"/>
          </rPr>
          <t xml:space="preserve"> a aquellos que cumplan con alguna de estas condiciones:
Este dato aparecerá  luego de que en la atención 
</t>
        </r>
        <r>
          <rPr>
            <b/>
            <sz val="9"/>
            <color indexed="81"/>
            <rFont val="Tahoma"/>
            <family val="2"/>
          </rPr>
          <t xml:space="preserve">
Registrada en el Módulo Box - Pacientes Citados ó Registrada en el Módulo Box - Agregar Documentos a una Atención</t>
        </r>
        <r>
          <rPr>
            <sz val="9"/>
            <color indexed="81"/>
            <rFont val="Tahoma"/>
            <family val="2"/>
          </rPr>
          <t xml:space="preserve">
En el</t>
        </r>
        <r>
          <rPr>
            <b/>
            <sz val="9"/>
            <color indexed="81"/>
            <rFont val="Tahoma"/>
            <family val="2"/>
          </rPr>
          <t xml:space="preserve"> Formulario Control de Salud Mental</t>
        </r>
        <r>
          <rPr>
            <sz val="9"/>
            <color indexed="81"/>
            <rFont val="Tahoma"/>
            <family val="2"/>
          </rPr>
          <t xml:space="preserve"> en la sección </t>
        </r>
        <r>
          <rPr>
            <b/>
            <sz val="9"/>
            <color indexed="81"/>
            <rFont val="Tahoma"/>
            <family val="2"/>
          </rPr>
          <t xml:space="preserve">"Programa de Rehabilitación Tipo II" </t>
        </r>
        <r>
          <rPr>
            <sz val="9"/>
            <color indexed="81"/>
            <rFont val="Tahoma"/>
            <family val="2"/>
          </rPr>
          <t xml:space="preserve"> en el campo estado los valores sean: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A69" authorId="6" shapeId="0" xr:uid="{45578A7A-7408-4660-AABE-44F67C2B18E7}">
      <text>
        <r>
          <rPr>
            <sz val="9"/>
            <color indexed="81"/>
            <rFont val="Tahoma"/>
            <family val="2"/>
          </rPr>
          <t xml:space="preserve">Se considerara como Números de Personas en Control 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t>
        </r>
        <r>
          <rPr>
            <b/>
            <sz val="9"/>
            <color indexed="81"/>
            <rFont val="Tahoma"/>
            <family val="2"/>
          </rPr>
          <t xml:space="preserve"> Registrada en el Módulo Box - Agregar Documentos a una Atención
</t>
        </r>
        <r>
          <rPr>
            <sz val="9"/>
            <color indexed="81"/>
            <rFont val="Tahoma"/>
            <family val="2"/>
          </rPr>
          <t xml:space="preserve">
En el Formulario Control de Salud Mental en la sección</t>
        </r>
        <r>
          <rPr>
            <b/>
            <sz val="9"/>
            <color indexed="81"/>
            <rFont val="Tahoma"/>
            <family val="2"/>
          </rPr>
          <t xml:space="preserve"> "Programa Acompañamiento Psicosocial"</t>
        </r>
        <r>
          <rPr>
            <sz val="9"/>
            <color indexed="81"/>
            <rFont val="Tahoma"/>
            <family val="2"/>
          </rPr>
          <t xml:space="preserve"> en el campo</t>
        </r>
        <r>
          <rPr>
            <b/>
            <sz val="9"/>
            <color indexed="81"/>
            <rFont val="Tahoma"/>
            <family val="2"/>
          </rPr>
          <t xml:space="preserve"> Programa Acompañamiento Psicosocial </t>
        </r>
        <r>
          <rPr>
            <sz val="9"/>
            <color indexed="81"/>
            <rFont val="Tahoma"/>
            <family val="2"/>
          </rPr>
          <t xml:space="preserve">tenga registrado el valor </t>
        </r>
        <r>
          <rPr>
            <b/>
            <sz val="9"/>
            <color indexed="81"/>
            <rFont val="Tahoma"/>
            <family val="2"/>
          </rPr>
          <t>SI y</t>
        </r>
        <r>
          <rPr>
            <sz val="9"/>
            <color indexed="81"/>
            <rFont val="Tahoma"/>
            <family val="2"/>
          </rPr>
          <t xml:space="preserve"> ademas en el campo</t>
        </r>
        <r>
          <rPr>
            <b/>
            <sz val="9"/>
            <color indexed="81"/>
            <rFont val="Tahoma"/>
            <family val="2"/>
          </rPr>
          <t xml:space="preserve"> Estado</t>
        </r>
        <r>
          <rPr>
            <sz val="9"/>
            <color indexed="81"/>
            <rFont val="Tahoma"/>
            <family val="2"/>
          </rPr>
          <t xml:space="preserve"> los valores sean</t>
        </r>
        <r>
          <rPr>
            <b/>
            <sz val="9"/>
            <color indexed="81"/>
            <rFont val="Tahoma"/>
            <family val="2"/>
          </rPr>
          <t xml:space="preserve"> 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Ref. Manual DEIS Serie P :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AN72" authorId="0" shapeId="0" xr:uid="{1E0016E4-546A-4E13-A008-06DAA1A6D0AC}">
      <text>
        <r>
          <rPr>
            <sz val="9"/>
            <color indexed="81"/>
            <rFont val="Tahoma"/>
            <family val="2"/>
          </rPr>
          <t xml:space="preserve">Este dato se contabilizará al seleccionarr en la opcion </t>
        </r>
        <r>
          <rPr>
            <b/>
            <sz val="9"/>
            <color indexed="81"/>
            <rFont val="Tahoma"/>
            <family val="2"/>
          </rPr>
          <t xml:space="preserve">"Ciclo Vital" </t>
        </r>
        <r>
          <rPr>
            <sz val="9"/>
            <color indexed="81"/>
            <rFont val="Tahoma"/>
            <family val="2"/>
          </rPr>
          <t xml:space="preserve">que se encuentra en la Anamnesis de la Ficha Clínica Electrónica en RAYEN las siguientes opciones:
</t>
        </r>
        <r>
          <rPr>
            <b/>
            <sz val="9"/>
            <color indexed="81"/>
            <rFont val="Tahoma"/>
            <family val="2"/>
          </rPr>
          <t xml:space="preserve">
Embarazada</t>
        </r>
        <r>
          <rPr>
            <sz val="9"/>
            <color indexed="81"/>
            <rFont val="Tahoma"/>
            <family val="2"/>
          </rPr>
          <t xml:space="preserve">
      ó
</t>
        </r>
        <r>
          <rPr>
            <b/>
            <sz val="9"/>
            <color indexed="81"/>
            <rFont val="Tahoma"/>
            <family val="2"/>
          </rPr>
          <t>Embarazada Primigesta</t>
        </r>
      </text>
    </comment>
    <comment ref="AO72" authorId="0" shapeId="0" xr:uid="{0589DBAA-7533-4A62-A543-8732BC0A7E62}">
      <text>
        <r>
          <rPr>
            <sz val="9"/>
            <color indexed="81"/>
            <rFont val="Tahoma"/>
            <family val="2"/>
          </rPr>
          <t xml:space="preserve">Este dato aparecerá  luego de que en la atención 
1.- Registrada en el </t>
        </r>
        <r>
          <rPr>
            <b/>
            <sz val="9"/>
            <color indexed="81"/>
            <rFont val="Tahoma"/>
            <family val="2"/>
          </rPr>
          <t xml:space="preserve">Módulo Box - Pacientes Citados 
</t>
        </r>
        <r>
          <rPr>
            <sz val="9"/>
            <color indexed="81"/>
            <rFont val="Tahoma"/>
            <family val="2"/>
          </rPr>
          <t>2</t>
        </r>
        <r>
          <rPr>
            <b/>
            <sz val="9"/>
            <color indexed="81"/>
            <rFont val="Tahoma"/>
            <family val="2"/>
          </rPr>
          <t xml:space="preserve">.- </t>
        </r>
        <r>
          <rPr>
            <sz val="9"/>
            <color indexed="81"/>
            <rFont val="Tahoma"/>
            <family val="2"/>
          </rPr>
          <t>ó Registrada en el</t>
        </r>
        <r>
          <rPr>
            <b/>
            <sz val="9"/>
            <color indexed="81"/>
            <rFont val="Tahoma"/>
            <family val="2"/>
          </rPr>
          <t xml:space="preserve"> Módulo Box - Agregar Documentos a una Atención</t>
        </r>
        <r>
          <rPr>
            <sz val="9"/>
            <color indexed="81"/>
            <rFont val="Tahoma"/>
            <family val="2"/>
          </rPr>
          <t xml:space="preserve">
Se complete en el formulario </t>
        </r>
        <r>
          <rPr>
            <b/>
            <sz val="9"/>
            <color indexed="81"/>
            <rFont val="Tahoma"/>
            <family val="2"/>
          </rPr>
          <t>"Control de Salud Mental"</t>
        </r>
        <r>
          <rPr>
            <sz val="9"/>
            <color indexed="81"/>
            <rFont val="Tahoma"/>
            <family val="2"/>
          </rPr>
          <t xml:space="preserve"> el campo </t>
        </r>
        <r>
          <rPr>
            <b/>
            <sz val="9"/>
            <color indexed="81"/>
            <rFont val="Tahoma"/>
            <family val="2"/>
          </rPr>
          <t>¿Usted es Madre de Hijo Menor de 5 años?</t>
        </r>
        <r>
          <rPr>
            <sz val="9"/>
            <color indexed="81"/>
            <rFont val="Tahoma"/>
            <family val="2"/>
          </rPr>
          <t xml:space="preserve"> Y tenga valor </t>
        </r>
        <r>
          <rPr>
            <b/>
            <sz val="9"/>
            <color indexed="81"/>
            <rFont val="Tahoma"/>
            <family val="2"/>
          </rPr>
          <t>"Si"</t>
        </r>
      </text>
    </comment>
    <comment ref="AP72" authorId="1" shapeId="0" xr:uid="{0BDDC508-8144-4A4D-B486-37CA3403CE16}">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o en </t>
        </r>
        <r>
          <rPr>
            <b/>
            <sz val="9"/>
            <color indexed="81"/>
            <rFont val="Tahoma"/>
            <family val="2"/>
          </rPr>
          <t xml:space="preserve">Box - Pacientes Citados </t>
        </r>
        <r>
          <rPr>
            <sz val="9"/>
            <color indexed="81"/>
            <rFont val="Tahoma"/>
            <family val="2"/>
          </rPr>
          <t xml:space="preserve">el paciente indique un </t>
        </r>
        <r>
          <rPr>
            <b/>
            <sz val="9"/>
            <color indexed="81"/>
            <rFont val="Tahoma"/>
            <family val="2"/>
          </rPr>
          <t>Pueblo Indigena</t>
        </r>
        <r>
          <rPr>
            <sz val="9"/>
            <color indexed="81"/>
            <rFont val="Tahoma"/>
            <family val="2"/>
          </rPr>
          <t xml:space="preserve">
</t>
        </r>
      </text>
    </comment>
    <comment ref="AR72" authorId="1" shapeId="0" xr:uid="{71129470-1F19-476D-B5E0-A8409F207473}">
      <text>
        <r>
          <rPr>
            <sz val="9"/>
            <color indexed="81"/>
            <rFont val="Tahoma"/>
            <family val="2"/>
          </rPr>
          <t>Se contabilizara a los pacientes que tengan en Admisión - usuario "Alerta Administrativa" o Box - Pacientes Citados - "Alertas Administrativas"</t>
        </r>
        <r>
          <rPr>
            <b/>
            <sz val="9"/>
            <color indexed="81"/>
            <rFont val="Tahoma"/>
            <family val="2"/>
          </rPr>
          <t xml:space="preserve">  "MIGRANTES"</t>
        </r>
        <r>
          <rPr>
            <sz val="9"/>
            <color indexed="81"/>
            <rFont val="Tahoma"/>
            <family val="2"/>
          </rPr>
          <t xml:space="preserve">
</t>
        </r>
      </text>
    </comment>
    <comment ref="AT72" authorId="2" shapeId="0" xr:uid="{6CFE2EAC-1D29-4A15-AC75-A9B192023519}">
      <text>
        <r>
          <rPr>
            <sz val="9"/>
            <color indexed="81"/>
            <rFont val="Tahoma"/>
            <family val="2"/>
          </rPr>
          <t xml:space="preserve">
Se contabilizará a los usuarios que tengan registrado desde</t>
        </r>
        <r>
          <rPr>
            <b/>
            <sz val="9"/>
            <color indexed="81"/>
            <rFont val="Tahoma"/>
            <family val="2"/>
          </rPr>
          <t xml:space="preserve"> BOX o Inscripción alguna de las siguientes alertas administrativas:</t>
        </r>
        <r>
          <rPr>
            <sz val="9"/>
            <color indexed="81"/>
            <rFont val="Tahoma"/>
            <family val="2"/>
          </rPr>
          <t xml:space="preserve">
</t>
        </r>
        <r>
          <rPr>
            <b/>
            <sz val="9"/>
            <color indexed="81"/>
            <rFont val="Tahoma"/>
            <family val="2"/>
          </rPr>
          <t xml:space="preserve">Programa SENAME - Ambulatorios
</t>
        </r>
        <r>
          <rPr>
            <sz val="9"/>
            <color indexed="81"/>
            <rFont val="Tahoma"/>
            <family val="2"/>
          </rPr>
          <t>o</t>
        </r>
        <r>
          <rPr>
            <b/>
            <sz val="9"/>
            <color indexed="81"/>
            <rFont val="Tahoma"/>
            <family val="2"/>
          </rPr>
          <t xml:space="preserve">
Programa SENAME - CIP/CRC</t>
        </r>
      </text>
    </comment>
    <comment ref="AU72" authorId="2" shapeId="0" xr:uid="{DA76444D-5B3F-441E-BB86-60547AD2E328}">
      <text>
        <r>
          <rPr>
            <sz val="9"/>
            <color indexed="81"/>
            <rFont val="Tahoma"/>
            <family val="2"/>
          </rPr>
          <t xml:space="preserve">
Se contabilizara a los usuarios que tengan registrado desde </t>
        </r>
        <r>
          <rPr>
            <b/>
            <sz val="9"/>
            <color indexed="81"/>
            <rFont val="Tahoma"/>
            <family val="2"/>
          </rPr>
          <t>BOX o</t>
        </r>
        <r>
          <rPr>
            <sz val="9"/>
            <color indexed="81"/>
            <rFont val="Tahoma"/>
            <family val="2"/>
          </rPr>
          <t xml:space="preserve"> </t>
        </r>
        <r>
          <rPr>
            <b/>
            <sz val="9"/>
            <color indexed="81"/>
            <rFont val="Tahoma"/>
            <family val="2"/>
          </rPr>
          <t xml:space="preserve">Inscripcion la  alerta administrativa: </t>
        </r>
        <r>
          <rPr>
            <sz val="9"/>
            <color indexed="81"/>
            <rFont val="Tahoma"/>
            <family val="2"/>
          </rPr>
          <t xml:space="preserve">
</t>
        </r>
        <r>
          <rPr>
            <b/>
            <sz val="9"/>
            <color indexed="81"/>
            <rFont val="Tahoma"/>
            <family val="2"/>
          </rPr>
          <t xml:space="preserve">SPE ex Mejor Niñez - Ambulatorio
</t>
        </r>
        <r>
          <rPr>
            <sz val="9"/>
            <color indexed="81"/>
            <rFont val="Tahoma"/>
            <family val="2"/>
          </rPr>
          <t xml:space="preserve">o
</t>
        </r>
        <r>
          <rPr>
            <b/>
            <sz val="9"/>
            <color indexed="81"/>
            <rFont val="Tahoma"/>
            <family val="2"/>
          </rPr>
          <t>SPE ex Mejor Niñez - Residencial</t>
        </r>
      </text>
    </comment>
    <comment ref="AV72" authorId="1" shapeId="0" xr:uid="{CC86AD48-4122-4713-85A4-A762DE12A402}">
      <text>
        <r>
          <rPr>
            <b/>
            <sz val="9"/>
            <color indexed="81"/>
            <rFont val="Tahoma"/>
            <family val="2"/>
          </rPr>
          <t xml:space="preserve">
</t>
        </r>
        <r>
          <rPr>
            <sz val="9"/>
            <color indexed="81"/>
            <rFont val="Tahoma"/>
            <family val="2"/>
          </rPr>
          <t>Este dato aparecerá  luego de que la atención registrada en</t>
        </r>
        <r>
          <rPr>
            <b/>
            <sz val="9"/>
            <color indexed="81"/>
            <rFont val="Tahoma"/>
            <family val="2"/>
          </rPr>
          <t xml:space="preserve"> Módulo de Box/Pacientes citados, o en Atención/Registro Atención Individual, </t>
        </r>
        <r>
          <rPr>
            <sz val="9"/>
            <color indexed="81"/>
            <rFont val="Tahoma"/>
            <family val="2"/>
          </rPr>
          <t>se registre</t>
        </r>
        <r>
          <rPr>
            <b/>
            <sz val="9"/>
            <color indexed="81"/>
            <rFont val="Tahoma"/>
            <family val="2"/>
          </rPr>
          <t xml:space="preserve"> la actividad: 
- Plan cuidado Integral Elaborado
Y 
Además, se cumpla con el registro solicitado por cada Item de la seccion ( Registro de Formulario Clinico + Condicion)</t>
        </r>
      </text>
    </comment>
    <comment ref="AW74" authorId="3" shapeId="0" xr:uid="{11697DFC-CF25-46D5-B949-D997CE39B6B1}">
      <text>
        <r>
          <rPr>
            <sz val="9"/>
            <color indexed="81"/>
            <rFont val="Tahoma"/>
            <family val="2"/>
          </rPr>
          <t>El Paciente debe tener identificado en</t>
        </r>
        <r>
          <rPr>
            <b/>
            <sz val="9"/>
            <color indexed="81"/>
            <rFont val="Tahoma"/>
            <family val="2"/>
          </rPr>
          <t xml:space="preserve"> Módulo de Admisión</t>
        </r>
        <r>
          <rPr>
            <sz val="9"/>
            <color indexed="81"/>
            <rFont val="Tahoma"/>
            <family val="2"/>
          </rPr>
          <t xml:space="preserve"> Pestaña</t>
        </r>
        <r>
          <rPr>
            <b/>
            <sz val="9"/>
            <color indexed="81"/>
            <rFont val="Tahoma"/>
            <family val="2"/>
          </rPr>
          <t xml:space="preserve"> Usuario </t>
        </r>
        <r>
          <rPr>
            <sz val="9"/>
            <color indexed="81"/>
            <rFont val="Tahoma"/>
            <family val="2"/>
          </rPr>
          <t xml:space="preserve">y desde </t>
        </r>
        <r>
          <rPr>
            <b/>
            <sz val="9"/>
            <color indexed="81"/>
            <rFont val="Tahoma"/>
            <family val="2"/>
          </rPr>
          <t xml:space="preserve">Módulo Box - Pacientes Citados </t>
        </r>
        <r>
          <rPr>
            <sz val="9"/>
            <color indexed="81"/>
            <rFont val="Tahoma"/>
            <family val="2"/>
          </rPr>
          <t xml:space="preserve">en </t>
        </r>
        <r>
          <rPr>
            <b/>
            <sz val="9"/>
            <color indexed="81"/>
            <rFont val="Tahoma"/>
            <family val="2"/>
          </rPr>
          <t>Modificar Datos del Paciente</t>
        </r>
        <r>
          <rPr>
            <sz val="9"/>
            <color indexed="81"/>
            <rFont val="Tahoma"/>
            <family val="2"/>
          </rPr>
          <t xml:space="preserve">  en la Opción </t>
        </r>
        <r>
          <rPr>
            <b/>
            <sz val="9"/>
            <color indexed="81"/>
            <rFont val="Tahoma"/>
            <family val="2"/>
          </rPr>
          <t>Genero</t>
        </r>
        <r>
          <rPr>
            <sz val="9"/>
            <color indexed="81"/>
            <rFont val="Tahoma"/>
            <family val="2"/>
          </rPr>
          <t xml:space="preserve"> debe registrar </t>
        </r>
        <r>
          <rPr>
            <b/>
            <sz val="9"/>
            <color indexed="81"/>
            <rFont val="Tahoma"/>
            <family val="2"/>
          </rPr>
          <t>Masculino Trans</t>
        </r>
        <r>
          <rPr>
            <sz val="9"/>
            <color indexed="81"/>
            <rFont val="Tahoma"/>
            <family val="2"/>
          </rPr>
          <t xml:space="preserve">
</t>
        </r>
      </text>
    </comment>
    <comment ref="AX74" authorId="3" shapeId="0" xr:uid="{B307CD50-7FE1-4823-9E67-BEE97ECEAFE7}">
      <text>
        <r>
          <rPr>
            <sz val="9"/>
            <color indexed="81"/>
            <rFont val="Tahoma"/>
            <family val="2"/>
          </rPr>
          <t>El Paciente debe tener identificado en</t>
        </r>
        <r>
          <rPr>
            <b/>
            <sz val="9"/>
            <color indexed="81"/>
            <rFont val="Tahoma"/>
            <family val="2"/>
          </rPr>
          <t xml:space="preserve"> Módulo de Admisión</t>
        </r>
        <r>
          <rPr>
            <sz val="9"/>
            <color indexed="81"/>
            <rFont val="Tahoma"/>
            <family val="2"/>
          </rPr>
          <t xml:space="preserve"> Pestaña</t>
        </r>
        <r>
          <rPr>
            <b/>
            <sz val="9"/>
            <color indexed="81"/>
            <rFont val="Tahoma"/>
            <family val="2"/>
          </rPr>
          <t xml:space="preserve"> Usuario </t>
        </r>
        <r>
          <rPr>
            <sz val="9"/>
            <color indexed="81"/>
            <rFont val="Tahoma"/>
            <family val="2"/>
          </rPr>
          <t xml:space="preserve">y desde </t>
        </r>
        <r>
          <rPr>
            <b/>
            <sz val="9"/>
            <color indexed="81"/>
            <rFont val="Tahoma"/>
            <family val="2"/>
          </rPr>
          <t xml:space="preserve">Módulo Box - Pacientes Citados </t>
        </r>
        <r>
          <rPr>
            <sz val="9"/>
            <color indexed="81"/>
            <rFont val="Tahoma"/>
            <family val="2"/>
          </rPr>
          <t xml:space="preserve">en </t>
        </r>
        <r>
          <rPr>
            <b/>
            <sz val="9"/>
            <color indexed="81"/>
            <rFont val="Tahoma"/>
            <family val="2"/>
          </rPr>
          <t>Modificar Datos del Paciente</t>
        </r>
        <r>
          <rPr>
            <sz val="9"/>
            <color indexed="81"/>
            <rFont val="Tahoma"/>
            <family val="2"/>
          </rPr>
          <t xml:space="preserve">  en la Opción </t>
        </r>
        <r>
          <rPr>
            <b/>
            <sz val="9"/>
            <color indexed="81"/>
            <rFont val="Tahoma"/>
            <family val="2"/>
          </rPr>
          <t>Genero</t>
        </r>
        <r>
          <rPr>
            <sz val="9"/>
            <color indexed="81"/>
            <rFont val="Tahoma"/>
            <family val="2"/>
          </rPr>
          <t xml:space="preserve"> debe registrar </t>
        </r>
        <r>
          <rPr>
            <b/>
            <sz val="9"/>
            <color indexed="81"/>
            <rFont val="Tahoma"/>
            <family val="2"/>
          </rPr>
          <t>Femenino Trans</t>
        </r>
        <r>
          <rPr>
            <sz val="9"/>
            <color indexed="81"/>
            <rFont val="Tahoma"/>
            <family val="2"/>
          </rPr>
          <t xml:space="preserve">
</t>
        </r>
      </text>
    </comment>
    <comment ref="A75" authorId="3" shapeId="0" xr:uid="{5425C7B4-C43B-4D75-B5E2-111657A409C8}">
      <text>
        <r>
          <rPr>
            <sz val="9"/>
            <color indexed="81"/>
            <rFont val="Tahoma"/>
            <family val="2"/>
          </rPr>
          <t xml:space="preserve">Se contabilizara el Numero de Personas que cumplen las condiciones de </t>
        </r>
        <r>
          <rPr>
            <b/>
            <sz val="9"/>
            <color indexed="81"/>
            <rFont val="Tahoma"/>
            <family val="2"/>
          </rPr>
          <t xml:space="preserve">Poblacion Bajo Control </t>
        </r>
        <r>
          <rPr>
            <sz val="9"/>
            <color indexed="81"/>
            <rFont val="Tahoma"/>
            <family val="2"/>
          </rPr>
          <t xml:space="preserve">descritas en </t>
        </r>
        <r>
          <rPr>
            <b/>
            <sz val="9"/>
            <color indexed="81"/>
            <rFont val="Tahoma"/>
            <family val="2"/>
          </rPr>
          <t xml:space="preserve">Factores de Riesgo y Condicionantes de la Salud Mental </t>
        </r>
        <r>
          <rPr>
            <sz val="9"/>
            <color indexed="81"/>
            <rFont val="Tahoma"/>
            <family val="2"/>
          </rPr>
          <t xml:space="preserve">o </t>
        </r>
        <r>
          <rPr>
            <b/>
            <sz val="9"/>
            <color indexed="81"/>
            <rFont val="Tahoma"/>
            <family val="2"/>
          </rPr>
          <t>Diagnosticos de Trastornos Mentales</t>
        </r>
        <r>
          <rPr>
            <sz val="9"/>
            <color indexed="81"/>
            <rFont val="Tahoma"/>
            <family val="2"/>
          </rPr>
          <t xml:space="preserve">. </t>
        </r>
        <r>
          <rPr>
            <b/>
            <sz val="9"/>
            <color indexed="81"/>
            <rFont val="Tahoma"/>
            <family val="2"/>
          </rPr>
          <t>Centros de Atención Especialidad</t>
        </r>
        <r>
          <rPr>
            <sz val="9"/>
            <color indexed="81"/>
            <rFont val="Tahoma"/>
            <family val="2"/>
          </rPr>
          <t xml:space="preserve">.
</t>
        </r>
        <r>
          <rPr>
            <b/>
            <sz val="9"/>
            <color indexed="81"/>
            <rFont val="Tahoma"/>
            <family val="2"/>
          </rPr>
          <t xml:space="preserve">Una persona puede tener 1 o Más Factores de Riesgo, Condicionantes o Diagnosticos de Trastornos Mentales.
Ademas </t>
        </r>
        <r>
          <rPr>
            <sz val="9"/>
            <color indexed="81"/>
            <rFont val="Tahoma"/>
            <family val="2"/>
          </rPr>
          <t>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 xml:space="preserve">
Definiciones conceptuales:
</t>
        </r>
        <r>
          <rPr>
            <sz val="9"/>
            <color indexed="81"/>
            <rFont val="Tahoma"/>
            <family val="2"/>
          </rPr>
          <t>Corresponde a las personas que están en control con médico o psicólogo (terapeuta ocupacional, asistente social, enfermera u otro profesional capacitado), por factores de riesgo y condicionantes de salud mental y/o por diagnósticos de trastornos mentales. Considera a las personas que reciben prestaciones de control de salud mental de manera presencial, como también, a las personas que reciben acciones telefónicas de seguimiento y/o controles de salud mental realizados de manera remota, siendo todo esto, registrado en su respectiva ficha clínica electrónica.</t>
        </r>
        <r>
          <rPr>
            <b/>
            <sz val="9"/>
            <color indexed="81"/>
            <rFont val="Tahoma"/>
            <family val="2"/>
          </rPr>
          <t xml:space="preserve">
Población en control: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
Ejemplo;</t>
        </r>
        <r>
          <rPr>
            <b/>
            <sz val="9"/>
            <color indexed="81"/>
            <rFont val="Tahoma"/>
            <family val="2"/>
          </rPr>
          <t xml:space="preserve">
"Si desde la fecha del Próximo Control registrada en el Formulario de Control de Salud Mental Transcurren 45 días sin actualización de Fecha de Control, este paciente no será considerado en la población bajo control hasta activarlo nuevamente seleccionando el campo Estado en su patología con los valores Reingreso o Seguimiento"
</t>
        </r>
      </text>
    </comment>
    <comment ref="C76" authorId="3" shapeId="0" xr:uid="{C6B5BDBF-47D6-4876-B39D-DD0200322838}">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las condiciones descritas En detalles de </t>
        </r>
        <r>
          <rPr>
            <b/>
            <sz val="9"/>
            <color indexed="81"/>
            <rFont val="Tahoma"/>
            <family val="2"/>
          </rPr>
          <t>Factores de Riesgo y Condicionantes de la Salud Mental.</t>
        </r>
        <r>
          <rPr>
            <sz val="9"/>
            <color indexed="81"/>
            <rFont val="Tahoma"/>
            <family val="2"/>
          </rPr>
          <t xml:space="preserve"> Centros de Atención Especialidad.
Ademas tener en el Semestre registrada la actividad Control de Salud Mental (Nivel Secundario o de especialidades)</t>
        </r>
        <r>
          <rPr>
            <b/>
            <sz val="9"/>
            <color indexed="81"/>
            <rFont val="Tahoma"/>
            <family val="2"/>
          </rPr>
          <t xml:space="preserve">
Definiciones conceptuales:
C</t>
        </r>
        <r>
          <rPr>
            <sz val="9"/>
            <color indexed="81"/>
            <rFont val="Tahoma"/>
            <family val="2"/>
          </rPr>
          <t>orresponde a las personas que están en control con médico o psicólogo (terapeuta ocupacional, asistente social, enfermera u otro profesional capacitado), por factores de riesgo y condicionantes de salud mental y/o por diagnósticos de trastornos mentales. Considera a las personas que reciben prestaciones de control de salud mental de manera presencial, como también, a las personas que reciben acciones telefónicas de seguimiento y/o controles de salud mental realizados de manera remota, siendo todo esto, registrado en su respectiva ficha clínica electrónica.</t>
        </r>
        <r>
          <rPr>
            <b/>
            <sz val="9"/>
            <color indexed="81"/>
            <rFont val="Tahoma"/>
            <family val="2"/>
          </rPr>
          <t xml:space="preserve">
Población en control:</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Ejemplo;
"Si desde la fecha del Próximo Control registrada en el Formulario de Control de Salud Mental Transcurren 45 días sin actualización de Fecha de Control, este paciente no será considerado en la población bajo control hasta activarlo nuevamente seleccionando el campo Estado en su patología con los valores Reingreso o Seguimiento"</t>
        </r>
      </text>
    </comment>
    <comment ref="B77" authorId="4" shapeId="0" xr:uid="{8E6E69A2-B20C-46BC-95AC-17D03E8B6190}">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 xml:space="preserve">Física,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78" authorId="4" shapeId="0" xr:uid="{1D139CE8-CF61-4192-8CAF-9441166C0947}">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Física</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t>
        </r>
        <r>
          <rPr>
            <b/>
            <sz val="9"/>
            <color indexed="81"/>
            <rFont val="Tahoma"/>
            <family val="2"/>
          </rPr>
          <t>Fecha Próximo Control</t>
        </r>
        <r>
          <rPr>
            <sz val="9"/>
            <color indexed="81"/>
            <rFont val="Tahoma"/>
            <family val="2"/>
          </rPr>
          <t xml:space="preserve"> una fecha aproximada de su control.
</t>
        </r>
      </text>
    </comment>
    <comment ref="B79" authorId="4" shapeId="0" xr:uid="{D43FCA78-2381-4A0A-BD1A-ACA0BDB363C4}">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 xml:space="preserve">Sexual,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80" authorId="4" shapeId="0" xr:uid="{6459D252-B119-4157-BFAD-D7203B6EA4A4}">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Sexual</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t>
        </r>
        <r>
          <rPr>
            <b/>
            <sz val="9"/>
            <color indexed="81"/>
            <rFont val="Tahoma"/>
            <family val="2"/>
          </rPr>
          <t xml:space="preserve">Fecha Próximo Control </t>
        </r>
        <r>
          <rPr>
            <sz val="9"/>
            <color indexed="81"/>
            <rFont val="Tahoma"/>
            <family val="2"/>
          </rPr>
          <t xml:space="preserve">una fecha aproximada de su control.
</t>
        </r>
      </text>
    </comment>
    <comment ref="B81" authorId="4" shapeId="0" xr:uid="{63C20F41-8F43-4DB5-BB73-B8BDA1490073}">
      <text>
        <r>
          <rPr>
            <sz val="9"/>
            <color indexed="81"/>
            <rFont val="Tahoma"/>
            <family val="2"/>
          </rPr>
          <t xml:space="preserve">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Complentado el </t>
        </r>
        <r>
          <rPr>
            <b/>
            <sz val="9"/>
            <color indexed="81"/>
            <rFont val="Tahoma"/>
            <family val="2"/>
          </rPr>
          <t xml:space="preserve">Formulario Control de Salud Mental, </t>
        </r>
        <r>
          <rPr>
            <sz val="9"/>
            <color indexed="81"/>
            <rFont val="Tahoma"/>
            <family val="2"/>
          </rPr>
          <t>desde</t>
        </r>
        <r>
          <rPr>
            <b/>
            <sz val="9"/>
            <color indexed="81"/>
            <rFont val="Tahoma"/>
            <family val="2"/>
          </rPr>
          <t xml:space="preserve"> ítem Violencia</t>
        </r>
        <r>
          <rPr>
            <sz val="9"/>
            <color indexed="81"/>
            <rFont val="Tahoma"/>
            <family val="2"/>
          </rPr>
          <t xml:space="preserve"> en el Campo </t>
        </r>
        <r>
          <rPr>
            <b/>
            <sz val="9"/>
            <color indexed="81"/>
            <rFont val="Tahoma"/>
            <family val="2"/>
          </rPr>
          <t>¿ Es Víctima o Agresor/a de Violencia? tenga el Valor S</t>
        </r>
        <r>
          <rPr>
            <sz val="9"/>
            <color indexed="81"/>
            <rFont val="Tahoma"/>
            <family val="2"/>
          </rPr>
          <t>I, que en el Campo</t>
        </r>
        <r>
          <rPr>
            <b/>
            <sz val="9"/>
            <color indexed="81"/>
            <rFont val="Tahoma"/>
            <family val="2"/>
          </rPr>
          <t xml:space="preserve"> Estado</t>
        </r>
        <r>
          <rPr>
            <sz val="9"/>
            <color indexed="81"/>
            <rFont val="Tahoma"/>
            <family val="2"/>
          </rPr>
          <t xml:space="preserve"> tenga registrado el Valor </t>
        </r>
        <r>
          <rPr>
            <b/>
            <sz val="9"/>
            <color indexed="81"/>
            <rFont val="Tahoma"/>
            <family val="2"/>
          </rPr>
          <t>Ingreso, 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t>
        </r>
        <r>
          <rPr>
            <b/>
            <sz val="9"/>
            <color indexed="81"/>
            <rFont val="Tahoma"/>
            <family val="2"/>
          </rPr>
          <t xml:space="preserve"> Psicológica, </t>
        </r>
        <r>
          <rPr>
            <sz val="9"/>
            <color indexed="81"/>
            <rFont val="Tahoma"/>
            <family val="2"/>
          </rPr>
          <t>y que en valor</t>
        </r>
        <r>
          <rPr>
            <b/>
            <sz val="9"/>
            <color indexed="81"/>
            <rFont val="Tahoma"/>
            <family val="2"/>
          </rPr>
          <t xml:space="preserve"> En la violencia es: </t>
        </r>
        <r>
          <rPr>
            <sz val="9"/>
            <color indexed="81"/>
            <rFont val="Tahoma"/>
            <family val="2"/>
          </rPr>
          <t xml:space="preserve">tenga ingresado el valor </t>
        </r>
        <r>
          <rPr>
            <b/>
            <sz val="9"/>
            <color indexed="81"/>
            <rFont val="Tahoma"/>
            <family val="2"/>
          </rPr>
          <t xml:space="preserve">Víctima.
</t>
        </r>
        <r>
          <rPr>
            <sz val="9"/>
            <color indexed="81"/>
            <rFont val="Tahoma"/>
            <family val="2"/>
          </rPr>
          <t xml:space="preserve">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B82" authorId="4" shapeId="0" xr:uid="{D7534366-8256-4189-9C75-4F44C94A1EEF}">
      <text>
        <r>
          <rPr>
            <sz val="9"/>
            <color indexed="81"/>
            <rFont val="Tahoma"/>
            <family val="2"/>
          </rPr>
          <t xml:space="preserve">
Este dato aparecerá  luego de que en la atención registrada en el </t>
        </r>
        <r>
          <rPr>
            <b/>
            <sz val="9"/>
            <color indexed="81"/>
            <rFont val="Tahoma"/>
            <family val="2"/>
          </rPr>
          <t xml:space="preserve">Módulo Box - Pacientes Citados </t>
        </r>
        <r>
          <rPr>
            <sz val="9"/>
            <color indexed="81"/>
            <rFont val="Tahoma"/>
            <family val="2"/>
          </rPr>
          <t>ó registrada en el</t>
        </r>
        <r>
          <rPr>
            <b/>
            <sz val="9"/>
            <color indexed="81"/>
            <rFont val="Tahoma"/>
            <family val="2"/>
          </rPr>
          <t xml:space="preserve"> Módulo Box - Agregar Documentos a una Atención
</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desde ítem </t>
        </r>
        <r>
          <rPr>
            <b/>
            <sz val="9"/>
            <color indexed="81"/>
            <rFont val="Tahoma"/>
            <family val="2"/>
          </rPr>
          <t>Violencia</t>
        </r>
        <r>
          <rPr>
            <sz val="9"/>
            <color indexed="81"/>
            <rFont val="Tahoma"/>
            <family val="2"/>
          </rPr>
          <t xml:space="preserve"> en el Campo </t>
        </r>
        <r>
          <rPr>
            <b/>
            <sz val="9"/>
            <color indexed="81"/>
            <rFont val="Tahoma"/>
            <family val="2"/>
          </rPr>
          <t>¿ Es Víctima o Agresor/a de Violencia?</t>
        </r>
        <r>
          <rPr>
            <sz val="9"/>
            <color indexed="81"/>
            <rFont val="Tahoma"/>
            <family val="2"/>
          </rPr>
          <t xml:space="preserve"> tenga el</t>
        </r>
        <r>
          <rPr>
            <b/>
            <sz val="9"/>
            <color indexed="81"/>
            <rFont val="Tahoma"/>
            <family val="2"/>
          </rPr>
          <t xml:space="preserve"> Valor SI</t>
        </r>
        <r>
          <rPr>
            <sz val="9"/>
            <color indexed="81"/>
            <rFont val="Tahoma"/>
            <family val="2"/>
          </rPr>
          <t xml:space="preserve">, que en el Campo </t>
        </r>
        <r>
          <rPr>
            <b/>
            <sz val="9"/>
            <color indexed="81"/>
            <rFont val="Tahoma"/>
            <family val="2"/>
          </rPr>
          <t>Estado</t>
        </r>
        <r>
          <rPr>
            <sz val="9"/>
            <color indexed="81"/>
            <rFont val="Tahoma"/>
            <family val="2"/>
          </rPr>
          <t xml:space="preserve"> tenga registrado el Valor </t>
        </r>
        <r>
          <rPr>
            <b/>
            <sz val="9"/>
            <color indexed="81"/>
            <rFont val="Tahoma"/>
            <family val="2"/>
          </rPr>
          <t>Ingreso</t>
        </r>
        <r>
          <rPr>
            <sz val="9"/>
            <color indexed="81"/>
            <rFont val="Tahoma"/>
            <family val="2"/>
          </rPr>
          <t xml:space="preserve">, </t>
        </r>
        <r>
          <rPr>
            <b/>
            <sz val="9"/>
            <color indexed="81"/>
            <rFont val="Tahoma"/>
            <family val="2"/>
          </rPr>
          <t>Seguimiento o Reingreso</t>
        </r>
        <r>
          <rPr>
            <sz val="9"/>
            <color indexed="81"/>
            <rFont val="Tahoma"/>
            <family val="2"/>
          </rPr>
          <t xml:space="preserve">, según corresponda, en campo </t>
        </r>
        <r>
          <rPr>
            <b/>
            <sz val="9"/>
            <color indexed="81"/>
            <rFont val="Tahoma"/>
            <family val="2"/>
          </rPr>
          <t>tipo de violencia</t>
        </r>
        <r>
          <rPr>
            <sz val="9"/>
            <color indexed="81"/>
            <rFont val="Tahoma"/>
            <family val="2"/>
          </rPr>
          <t xml:space="preserve"> tenga registrado el campo </t>
        </r>
        <r>
          <rPr>
            <b/>
            <sz val="9"/>
            <color indexed="81"/>
            <rFont val="Tahoma"/>
            <family val="2"/>
          </rPr>
          <t>Física</t>
        </r>
        <r>
          <rPr>
            <sz val="9"/>
            <color indexed="81"/>
            <rFont val="Tahoma"/>
            <family val="2"/>
          </rPr>
          <t xml:space="preserve">, y que en valor </t>
        </r>
        <r>
          <rPr>
            <b/>
            <sz val="9"/>
            <color indexed="81"/>
            <rFont val="Tahoma"/>
            <family val="2"/>
          </rPr>
          <t>En la violencia es</t>
        </r>
        <r>
          <rPr>
            <sz val="9"/>
            <color indexed="81"/>
            <rFont val="Tahoma"/>
            <family val="2"/>
          </rPr>
          <t xml:space="preserve">: tenga ingresado el valor </t>
        </r>
        <r>
          <rPr>
            <b/>
            <sz val="9"/>
            <color indexed="81"/>
            <rFont val="Tahoma"/>
            <family val="2"/>
          </rPr>
          <t>Agresor/a.</t>
        </r>
        <r>
          <rPr>
            <sz val="9"/>
            <color indexed="81"/>
            <rFont val="Tahoma"/>
            <family val="2"/>
          </rPr>
          <t xml:space="preserve">
Ademas registrar en el Campo Fecha Próximo Control una fecha aproximada de su control.
</t>
        </r>
      </text>
    </comment>
    <comment ref="C83" authorId="5" shapeId="0" xr:uid="{E65C034E-C2B2-4315-9E27-F296A6E9D827}">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¿Sufre de Abuso Sexual?</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 xml:space="preserve">tenga los Valores </t>
        </r>
        <r>
          <rPr>
            <b/>
            <sz val="9"/>
            <color indexed="81"/>
            <rFont val="Tahoma"/>
            <family val="2"/>
          </rPr>
          <t xml:space="preserve">Ingreso, Reingreso o Seguimiento.
</t>
        </r>
        <r>
          <rPr>
            <sz val="9"/>
            <color indexed="81"/>
            <rFont val="Tahoma"/>
            <family val="2"/>
          </rPr>
          <t xml:space="preserve">y ademas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84" authorId="3" shapeId="0" xr:uid="{0A089CD2-96A3-4AAB-83F7-FB21C76F32FA}">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Factores de Resgo y Condicionantes de la Salud Mental  </t>
        </r>
        <r>
          <rPr>
            <sz val="9"/>
            <color indexed="81"/>
            <rFont val="Tahoma"/>
            <family val="2"/>
          </rPr>
          <t>en el campo</t>
        </r>
        <r>
          <rPr>
            <b/>
            <sz val="9"/>
            <color indexed="81"/>
            <rFont val="Tahoma"/>
            <family val="2"/>
          </rPr>
          <t xml:space="preserve"> Suicidio </t>
        </r>
        <r>
          <rPr>
            <sz val="9"/>
            <color indexed="81"/>
            <rFont val="Tahoma"/>
            <family val="2"/>
          </rPr>
          <t>debe seleccionar el valor</t>
        </r>
        <r>
          <rPr>
            <b/>
            <sz val="9"/>
            <color indexed="81"/>
            <rFont val="Tahoma"/>
            <family val="2"/>
          </rPr>
          <t xml:space="preserve"> "Si",</t>
        </r>
        <r>
          <rPr>
            <sz val="9"/>
            <color indexed="81"/>
            <rFont val="Tahoma"/>
            <family val="2"/>
          </rPr>
          <t xml:space="preserve"> además en el campo Tipo de</t>
        </r>
        <r>
          <rPr>
            <b/>
            <sz val="9"/>
            <color indexed="81"/>
            <rFont val="Tahoma"/>
            <family val="2"/>
          </rPr>
          <t xml:space="preserve"> Suicidio </t>
        </r>
        <r>
          <rPr>
            <sz val="9"/>
            <color indexed="81"/>
            <rFont val="Tahoma"/>
            <family val="2"/>
          </rPr>
          <t xml:space="preserve">se debe ingresar </t>
        </r>
        <r>
          <rPr>
            <b/>
            <sz val="9"/>
            <color indexed="81"/>
            <rFont val="Tahoma"/>
            <family val="2"/>
          </rPr>
          <t>Ideación</t>
        </r>
        <r>
          <rPr>
            <sz val="9"/>
            <color indexed="81"/>
            <rFont val="Tahoma"/>
            <family val="2"/>
          </rPr>
          <t>, asi tambien el campo</t>
        </r>
        <r>
          <rPr>
            <b/>
            <sz val="9"/>
            <color indexed="81"/>
            <rFont val="Tahoma"/>
            <family val="2"/>
          </rPr>
          <t xml:space="preserve"> Estado</t>
        </r>
        <r>
          <rPr>
            <sz val="9"/>
            <color indexed="81"/>
            <rFont val="Tahoma"/>
            <family val="2"/>
          </rPr>
          <t xml:space="preserve"> debe tener el valor </t>
        </r>
        <r>
          <rPr>
            <b/>
            <sz val="9"/>
            <color indexed="81"/>
            <rFont val="Tahoma"/>
            <family val="2"/>
          </rPr>
          <t>Ingreso, reingreso o Seguimiento</t>
        </r>
        <r>
          <rPr>
            <sz val="9"/>
            <color indexed="81"/>
            <rFont val="Tahoma"/>
            <family val="2"/>
          </rPr>
          <t xml:space="preserve">
Debe tener registrado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
</t>
        </r>
      </text>
    </comment>
    <comment ref="C85" authorId="3" shapeId="0" xr:uid="{D3FB6D84-AC00-44FC-9545-96E5C15ED761}">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Factores de Resgo y Condicionantes de la Salud Mental</t>
        </r>
        <r>
          <rPr>
            <sz val="9"/>
            <color indexed="81"/>
            <rFont val="Tahoma"/>
            <family val="2"/>
          </rPr>
          <t xml:space="preserve">  en el campo</t>
        </r>
        <r>
          <rPr>
            <b/>
            <sz val="9"/>
            <color indexed="81"/>
            <rFont val="Tahoma"/>
            <family val="2"/>
          </rPr>
          <t xml:space="preserve"> Suicidio</t>
        </r>
        <r>
          <rPr>
            <sz val="9"/>
            <color indexed="81"/>
            <rFont val="Tahoma"/>
            <family val="2"/>
          </rPr>
          <t xml:space="preserve"> debe seleccionar el valor "</t>
        </r>
        <r>
          <rPr>
            <b/>
            <sz val="9"/>
            <color indexed="81"/>
            <rFont val="Tahoma"/>
            <family val="2"/>
          </rPr>
          <t>Si"</t>
        </r>
        <r>
          <rPr>
            <sz val="9"/>
            <color indexed="81"/>
            <rFont val="Tahoma"/>
            <family val="2"/>
          </rPr>
          <t xml:space="preserve">, además en el campo Tipo de </t>
        </r>
        <r>
          <rPr>
            <b/>
            <sz val="9"/>
            <color indexed="81"/>
            <rFont val="Tahoma"/>
            <family val="2"/>
          </rPr>
          <t>Suicidio</t>
        </r>
        <r>
          <rPr>
            <sz val="9"/>
            <color indexed="81"/>
            <rFont val="Tahoma"/>
            <family val="2"/>
          </rPr>
          <t xml:space="preserve"> se debe ingresar </t>
        </r>
        <r>
          <rPr>
            <b/>
            <sz val="9"/>
            <color indexed="81"/>
            <rFont val="Tahoma"/>
            <family val="2"/>
          </rPr>
          <t>Intento</t>
        </r>
        <r>
          <rPr>
            <sz val="9"/>
            <color indexed="81"/>
            <rFont val="Tahoma"/>
            <family val="2"/>
          </rPr>
          <t xml:space="preserve">, asi tambien el campo </t>
        </r>
        <r>
          <rPr>
            <b/>
            <sz val="9"/>
            <color indexed="81"/>
            <rFont val="Tahoma"/>
            <family val="2"/>
          </rPr>
          <t>Estado</t>
        </r>
        <r>
          <rPr>
            <sz val="9"/>
            <color indexed="81"/>
            <rFont val="Tahoma"/>
            <family val="2"/>
          </rPr>
          <t xml:space="preserve"> debe tener el valor</t>
        </r>
        <r>
          <rPr>
            <b/>
            <sz val="9"/>
            <color indexed="81"/>
            <rFont val="Tahoma"/>
            <family val="2"/>
          </rPr>
          <t xml:space="preserve"> Ingreso, reingreso o Seguimiento</t>
        </r>
        <r>
          <rPr>
            <sz val="9"/>
            <color indexed="81"/>
            <rFont val="Tahoma"/>
            <family val="2"/>
          </rPr>
          <t xml:space="preserve">
Debe tener registrado en el Campo </t>
        </r>
        <r>
          <rPr>
            <b/>
            <sz val="9"/>
            <color indexed="81"/>
            <rFont val="Tahoma"/>
            <family val="2"/>
          </rPr>
          <t>Fecha Próximo Control</t>
        </r>
        <r>
          <rPr>
            <sz val="9"/>
            <color indexed="81"/>
            <rFont val="Tahoma"/>
            <family val="2"/>
          </rPr>
          <t xml:space="preserve"> una fecha aproximada de su control.
</t>
        </r>
      </text>
    </comment>
    <comment ref="C87" authorId="5" shapeId="0" xr:uid="{D1B754FB-8799-4A18-8A96-C4F0AAFE3C5A}">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Leve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t>
        </r>
      </text>
    </comment>
    <comment ref="C88" authorId="5" shapeId="0" xr:uid="{BF64F6A6-D107-424B-8902-1FDC6ED54E84}">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Moderada
</t>
        </r>
        <r>
          <rPr>
            <sz val="9"/>
            <color indexed="81"/>
            <rFont val="Tahoma"/>
            <family val="2"/>
          </rPr>
          <t>Y</t>
        </r>
        <r>
          <rPr>
            <b/>
            <sz val="9"/>
            <color indexed="81"/>
            <rFont val="Tahoma"/>
            <family val="2"/>
          </rPr>
          <t xml:space="preserve"> </t>
        </r>
        <r>
          <rPr>
            <sz val="9"/>
            <color indexed="81"/>
            <rFont val="Tahoma"/>
            <family val="2"/>
          </rPr>
          <t>registrar en el Campo</t>
        </r>
        <r>
          <rPr>
            <b/>
            <sz val="9"/>
            <color indexed="81"/>
            <rFont val="Tahoma"/>
            <family val="2"/>
          </rPr>
          <t xml:space="preserve"> Fecha Próximo Control</t>
        </r>
        <r>
          <rPr>
            <sz val="9"/>
            <color indexed="81"/>
            <rFont val="Tahoma"/>
            <family val="2"/>
          </rPr>
          <t xml:space="preserve"> una fecha aproximada de su control.
</t>
        </r>
      </text>
    </comment>
    <comment ref="C89" authorId="5" shapeId="0" xr:uid="{39491163-7D34-4763-9114-C3FF2FDA0448}">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Grave
</t>
        </r>
        <r>
          <rPr>
            <sz val="9"/>
            <color indexed="81"/>
            <rFont val="Tahoma"/>
            <family val="2"/>
          </rPr>
          <t xml:space="preserve">Y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90" authorId="5" shapeId="0" xr:uid="{F6547519-4A52-4184-B0F7-72F5683AC40B}">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 Post - Parto?</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Ademas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91" authorId="5" shapeId="0" xr:uid="{BA66C07D-0A4D-4955-A7F0-6D72FD92A244}">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 Bipolar?</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además registrar en el Campo </t>
        </r>
        <r>
          <rPr>
            <b/>
            <sz val="9"/>
            <color indexed="81"/>
            <rFont val="Tahoma"/>
            <family val="2"/>
          </rPr>
          <t>Fecha Próximo Control</t>
        </r>
        <r>
          <rPr>
            <sz val="9"/>
            <color indexed="81"/>
            <rFont val="Tahoma"/>
            <family val="2"/>
          </rPr>
          <t xml:space="preserve"> una fecha aproximada de su control.
</t>
        </r>
      </text>
    </comment>
    <comment ref="C92" authorId="3" shapeId="0" xr:uid="{7FD74074-4038-47CF-9743-521F9E8F1910}">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
 y en el   </t>
        </r>
        <r>
          <rPr>
            <b/>
            <sz val="9"/>
            <color indexed="81"/>
            <rFont val="Tahoma"/>
            <family val="2"/>
          </rPr>
          <t xml:space="preserve">Formulario Control  De Salud Mental </t>
        </r>
        <r>
          <rPr>
            <sz val="9"/>
            <color indexed="81"/>
            <rFont val="Tahoma"/>
            <family val="2"/>
          </rPr>
          <t xml:space="preserve">en la sección </t>
        </r>
        <r>
          <rPr>
            <b/>
            <sz val="9"/>
            <color indexed="81"/>
            <rFont val="Tahoma"/>
            <family val="2"/>
          </rPr>
          <t xml:space="preserve"> Diagnósticos de Trastornos Mentales en sección Trastornos Mentales y del Comportamiento Debido a Consumo Sustancias Psicotrópicas
</t>
        </r>
        <r>
          <rPr>
            <sz val="9"/>
            <color indexed="81"/>
            <rFont val="Tahoma"/>
            <family val="2"/>
          </rPr>
          <t>en el campo</t>
        </r>
        <r>
          <rPr>
            <b/>
            <sz val="9"/>
            <color indexed="81"/>
            <rFont val="Tahoma"/>
            <family val="2"/>
          </rPr>
          <t xml:space="preserve">  ¿Consumo Perjudicial de Alcohol?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t>
        </r>
        <r>
          <rPr>
            <b/>
            <sz val="9"/>
            <color indexed="81"/>
            <rFont val="Tahoma"/>
            <family val="2"/>
          </rPr>
          <t xml:space="preserve"> Ingreso, Reingreso y Seguimiento</t>
        </r>
        <r>
          <rPr>
            <sz val="9"/>
            <color indexed="81"/>
            <rFont val="Tahoma"/>
            <family val="2"/>
          </rPr>
          <t xml:space="preserve">  en el campo </t>
        </r>
        <r>
          <rPr>
            <b/>
            <sz val="9"/>
            <color indexed="81"/>
            <rFont val="Tahoma"/>
            <family val="2"/>
          </rPr>
          <t>Estado.
Y además registrar en el Campo Fecha Próximo Control una fecha aproximada de su control."</t>
        </r>
      </text>
    </comment>
    <comment ref="C93" authorId="3" shapeId="0" xr:uid="{32E762D3-135D-4777-9D88-0546C2A0A2D2}">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 y en el</t>
        </r>
        <r>
          <rPr>
            <b/>
            <sz val="9"/>
            <color indexed="81"/>
            <rFont val="Tahoma"/>
            <family val="2"/>
          </rPr>
          <t xml:space="preserve"> Formulario 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sección</t>
        </r>
        <r>
          <rPr>
            <b/>
            <sz val="9"/>
            <color indexed="81"/>
            <rFont val="Tahoma"/>
            <family val="2"/>
          </rPr>
          <t xml:space="preserve"> Trastornos Mentales y del Comportamiento Debido a Consumo Sustancias Psicotrópicas
</t>
        </r>
        <r>
          <rPr>
            <sz val="9"/>
            <color indexed="81"/>
            <rFont val="Tahoma"/>
            <family val="2"/>
          </rPr>
          <t xml:space="preserve">en el campo </t>
        </r>
        <r>
          <rPr>
            <b/>
            <sz val="9"/>
            <color indexed="81"/>
            <rFont val="Tahoma"/>
            <family val="2"/>
          </rPr>
          <t xml:space="preserve"> ¿Consumo Dependiente del Alcohol?  </t>
        </r>
        <r>
          <rPr>
            <sz val="9"/>
            <color indexed="81"/>
            <rFont val="Tahoma"/>
            <family val="2"/>
          </rPr>
          <t>debe seleccionar</t>
        </r>
        <r>
          <rPr>
            <b/>
            <sz val="9"/>
            <color indexed="81"/>
            <rFont val="Tahoma"/>
            <family val="2"/>
          </rPr>
          <t xml:space="preserve"> "Si" y </t>
        </r>
        <r>
          <rPr>
            <sz val="9"/>
            <color indexed="81"/>
            <rFont val="Tahoma"/>
            <family val="2"/>
          </rPr>
          <t>tener registrado</t>
        </r>
        <r>
          <rPr>
            <b/>
            <sz val="9"/>
            <color indexed="81"/>
            <rFont val="Tahoma"/>
            <family val="2"/>
          </rPr>
          <t xml:space="preserve"> Ingreso, Reingreso y Seguimiento  </t>
        </r>
        <r>
          <rPr>
            <sz val="9"/>
            <color indexed="81"/>
            <rFont val="Tahoma"/>
            <family val="2"/>
          </rPr>
          <t xml:space="preserve">en el campo </t>
        </r>
        <r>
          <rPr>
            <b/>
            <sz val="9"/>
            <color indexed="81"/>
            <rFont val="Tahoma"/>
            <family val="2"/>
          </rPr>
          <t xml:space="preserve">Estado.
Y además registrar en el Campo Fecha Próximo Control una fecha aproximada de su control.
</t>
        </r>
      </text>
    </comment>
    <comment ref="C94" authorId="3" shapeId="0" xr:uid="{07687D48-DAC7-4636-B4DD-3937E8B5907C}">
      <text>
        <r>
          <rPr>
            <b/>
            <sz val="9"/>
            <color indexed="81"/>
            <rFont val="Tahoma"/>
            <family val="2"/>
          </rPr>
          <t xml:space="preserve">Este dato aparecerá  luego de que en la atención registrada Por Estamento Médico 
Registrada en el Módulo Box - Pacientes Citados  o en Agregar documentos a una atención
</t>
        </r>
        <r>
          <rPr>
            <sz val="9"/>
            <color indexed="81"/>
            <rFont val="Tahoma"/>
            <family val="2"/>
          </rPr>
          <t xml:space="preserve">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Diagnósticos de Trastornos Mentales </t>
        </r>
        <r>
          <rPr>
            <sz val="9"/>
            <color indexed="81"/>
            <rFont val="Tahoma"/>
            <family val="2"/>
          </rPr>
          <t>en sección</t>
        </r>
        <r>
          <rPr>
            <b/>
            <sz val="9"/>
            <color indexed="81"/>
            <rFont val="Tahoma"/>
            <family val="2"/>
          </rPr>
          <t xml:space="preserve"> Trastornos Mentales y del Comportamiento Debido a Consumo Sustancias Psicotrópicas
</t>
        </r>
        <r>
          <rPr>
            <sz val="9"/>
            <color indexed="81"/>
            <rFont val="Tahoma"/>
            <family val="2"/>
          </rPr>
          <t xml:space="preserve">en el campo </t>
        </r>
        <r>
          <rPr>
            <b/>
            <sz val="9"/>
            <color indexed="81"/>
            <rFont val="Tahoma"/>
            <family val="2"/>
          </rPr>
          <t xml:space="preserve">¿Consumo Perjudicial de Drogas?  </t>
        </r>
        <r>
          <rPr>
            <sz val="9"/>
            <color indexed="81"/>
            <rFont val="Tahoma"/>
            <family val="2"/>
          </rPr>
          <t>debe seleccionar</t>
        </r>
        <r>
          <rPr>
            <b/>
            <sz val="9"/>
            <color indexed="81"/>
            <rFont val="Tahoma"/>
            <family val="2"/>
          </rPr>
          <t xml:space="preserve"> "Si"</t>
        </r>
        <r>
          <rPr>
            <sz val="9"/>
            <color indexed="81"/>
            <rFont val="Tahoma"/>
            <family val="2"/>
          </rPr>
          <t xml:space="preserve"> y tener registrado </t>
        </r>
        <r>
          <rPr>
            <b/>
            <sz val="9"/>
            <color indexed="81"/>
            <rFont val="Tahoma"/>
            <family val="2"/>
          </rPr>
          <t xml:space="preserve">Ingreso, Reingreso y Seguimiento  </t>
        </r>
        <r>
          <rPr>
            <sz val="9"/>
            <color indexed="81"/>
            <rFont val="Tahoma"/>
            <family val="2"/>
          </rPr>
          <t>en el campo</t>
        </r>
        <r>
          <rPr>
            <b/>
            <sz val="9"/>
            <color indexed="81"/>
            <rFont val="Tahoma"/>
            <family val="2"/>
          </rPr>
          <t xml:space="preserve"> Estado.
Y además registrar en el Campo Fecha Próximo Control una fecha aproximada de su control.</t>
        </r>
      </text>
    </comment>
    <comment ref="C95" authorId="3" shapeId="0" xr:uid="{67341E83-3E45-4C35-B850-E3AE2511F2D6}">
      <text>
        <r>
          <rPr>
            <sz val="9"/>
            <color indexed="81"/>
            <rFont val="Tahoma"/>
            <family val="2"/>
          </rPr>
          <t xml:space="preserve">Este dato aparecerá  luego de que en la atención registrada Por Estamento Médico 
Registrada en el </t>
        </r>
        <r>
          <rPr>
            <b/>
            <sz val="9"/>
            <color indexed="81"/>
            <rFont val="Tahoma"/>
            <family val="2"/>
          </rPr>
          <t>Módulo Box - Pacientes Citados  o en Agregar documentos a una atención</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sección </t>
        </r>
        <r>
          <rPr>
            <b/>
            <sz val="9"/>
            <color indexed="81"/>
            <rFont val="Tahoma"/>
            <family val="2"/>
          </rPr>
          <t>Trastornos Mentales y del Comportamiento Debido a Consumo Sustancias Psicotrópicas</t>
        </r>
        <r>
          <rPr>
            <sz val="9"/>
            <color indexed="81"/>
            <rFont val="Tahoma"/>
            <family val="2"/>
          </rPr>
          <t xml:space="preserve">
en el campo </t>
        </r>
        <r>
          <rPr>
            <b/>
            <sz val="9"/>
            <color indexed="81"/>
            <rFont val="Tahoma"/>
            <family val="2"/>
          </rPr>
          <t>¿Consumo Dependiente de Drogas?</t>
        </r>
        <r>
          <rPr>
            <sz val="9"/>
            <color indexed="81"/>
            <rFont val="Tahoma"/>
            <family val="2"/>
          </rPr>
          <t xml:space="preserve">  debe seleccionar "</t>
        </r>
        <r>
          <rPr>
            <b/>
            <sz val="9"/>
            <color indexed="81"/>
            <rFont val="Tahoma"/>
            <family val="2"/>
          </rPr>
          <t>Si"</t>
        </r>
        <r>
          <rPr>
            <sz val="9"/>
            <color indexed="81"/>
            <rFont val="Tahoma"/>
            <family val="2"/>
          </rPr>
          <t xml:space="preserve"> y tener registrado</t>
        </r>
        <r>
          <rPr>
            <b/>
            <sz val="9"/>
            <color indexed="81"/>
            <rFont val="Tahoma"/>
            <family val="2"/>
          </rPr>
          <t xml:space="preserve"> Ingreso, Reingreso y Seguimiento  </t>
        </r>
        <r>
          <rPr>
            <sz val="9"/>
            <color indexed="81"/>
            <rFont val="Tahoma"/>
            <family val="2"/>
          </rPr>
          <t>en el campo</t>
        </r>
        <r>
          <rPr>
            <b/>
            <sz val="9"/>
            <color indexed="81"/>
            <rFont val="Tahoma"/>
            <family val="2"/>
          </rPr>
          <t xml:space="preserve"> Estado.
Y además registrar en el Campo Fecha Próximo Control una fecha aproximada de su control.</t>
        </r>
      </text>
    </comment>
    <comment ref="C96" authorId="3" shapeId="0" xr:uid="{946A8581-12EA-4496-8BC1-652DEF45D8C4}">
      <text>
        <r>
          <rPr>
            <sz val="9"/>
            <color indexed="81"/>
            <rFont val="Tahoma"/>
            <family val="2"/>
          </rPr>
          <t>Este dato aparecerá  luego de que en la atención registrada Por Estamento Médico 
Registrada en el</t>
        </r>
        <r>
          <rPr>
            <b/>
            <sz val="9"/>
            <color indexed="81"/>
            <rFont val="Tahoma"/>
            <family val="2"/>
          </rPr>
          <t xml:space="preserve"> Módulo Box - Pacientes Citados  o en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sección </t>
        </r>
        <r>
          <rPr>
            <b/>
            <sz val="9"/>
            <color indexed="81"/>
            <rFont val="Tahoma"/>
            <family val="2"/>
          </rPr>
          <t>Trastornos Mentales y del Comportamiento Debido a Consumo Sustancias Psicotrópicas</t>
        </r>
        <r>
          <rPr>
            <sz val="9"/>
            <color indexed="81"/>
            <rFont val="Tahoma"/>
            <family val="2"/>
          </rPr>
          <t xml:space="preserve">
en el campo </t>
        </r>
        <r>
          <rPr>
            <b/>
            <sz val="9"/>
            <color indexed="81"/>
            <rFont val="Tahoma"/>
            <family val="2"/>
          </rPr>
          <t>¿Consumo De Drogas y Alcohol?</t>
        </r>
        <r>
          <rPr>
            <sz val="9"/>
            <color indexed="81"/>
            <rFont val="Tahoma"/>
            <family val="2"/>
          </rPr>
          <t xml:space="preserve">  debe seleccionar </t>
        </r>
        <r>
          <rPr>
            <b/>
            <sz val="9"/>
            <color indexed="81"/>
            <rFont val="Tahoma"/>
            <family val="2"/>
          </rPr>
          <t>"Si"</t>
        </r>
        <r>
          <rPr>
            <sz val="9"/>
            <color indexed="81"/>
            <rFont val="Tahoma"/>
            <family val="2"/>
          </rPr>
          <t xml:space="preserve"> y tener registrado I</t>
        </r>
        <r>
          <rPr>
            <b/>
            <sz val="9"/>
            <color indexed="81"/>
            <rFont val="Tahoma"/>
            <family val="2"/>
          </rPr>
          <t>ngreso, Reingreso y Seguimiento  en el campo Estado.
Y además registrar en el Campo Fecha Próximo Control una fecha aproximada de su control.</t>
        </r>
      </text>
    </comment>
    <comment ref="C97" authorId="5" shapeId="0" xr:uid="{A8B916F4-3A1C-4C74-9E66-13EEC004CB8C}">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Hipercinéticos, de la Actividad y la Atención?</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98" authorId="5" shapeId="0" xr:uid="{E36D4232-8B0C-444A-935F-992BCB6F4315}">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Y</t>
        </r>
        <r>
          <rPr>
            <b/>
            <sz val="9"/>
            <color indexed="81"/>
            <rFont val="Tahoma"/>
            <family val="2"/>
          </rPr>
          <t xml:space="preserve">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Disocial desafiante y oposicionista?</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99" authorId="5" shapeId="0" xr:uid="{605EC77B-91AE-42C7-8B2D-F0B9D24026A4}">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de Ansiedad de Separación en la Infancia?</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0" authorId="5" shapeId="0" xr:uid="{1CF87987-1CFA-46E7-B3F1-99CB53D8DAAF}">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Otros trastornos del comportamiento y de las emociones de comienzo habitual en la Infancia y Adolescencia? </t>
        </r>
        <r>
          <rPr>
            <sz val="9"/>
            <color indexed="81"/>
            <rFont val="Tahoma"/>
            <family val="2"/>
          </rPr>
          <t xml:space="preserve">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1" authorId="3" shapeId="0" xr:uid="{0F523DF6-782B-448B-BB08-118069EFAE6A}">
      <text>
        <r>
          <rPr>
            <sz val="9"/>
            <color indexed="81"/>
            <rFont val="Tahoma"/>
            <family val="2"/>
          </rPr>
          <t>Se considerara como Poblacion Bajo Control a aquellos que cumplan con alguna de estas condiciones:
Este dato aparecerá  luego de que en la atención</t>
        </r>
        <r>
          <rPr>
            <b/>
            <sz val="9"/>
            <color indexed="81"/>
            <rFont val="Tahoma"/>
            <family val="2"/>
          </rPr>
          <t xml:space="preserve"> Registrada en el Módulo Box</t>
        </r>
        <r>
          <rPr>
            <sz val="9"/>
            <color indexed="81"/>
            <rFont val="Tahoma"/>
            <family val="2"/>
          </rPr>
          <t xml:space="preserve"> - </t>
        </r>
        <r>
          <rPr>
            <b/>
            <sz val="9"/>
            <color indexed="81"/>
            <rFont val="Tahoma"/>
            <family val="2"/>
          </rPr>
          <t>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t>
        </r>
        <r>
          <rPr>
            <b/>
            <sz val="9"/>
            <color indexed="81"/>
            <rFont val="Tahoma"/>
            <family val="2"/>
          </rPr>
          <t xml:space="preserve">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t>
        </r>
        <r>
          <rPr>
            <b/>
            <sz val="9"/>
            <color indexed="81"/>
            <rFont val="Tahoma"/>
            <family val="2"/>
          </rPr>
          <t xml:space="preserve"> Tipo de Trastorno de Ansiedad</t>
        </r>
        <r>
          <rPr>
            <sz val="9"/>
            <color indexed="81"/>
            <rFont val="Tahoma"/>
            <family val="2"/>
          </rPr>
          <t xml:space="preserve"> debe selecionar el valor </t>
        </r>
        <r>
          <rPr>
            <b/>
            <sz val="9"/>
            <color indexed="81"/>
            <rFont val="Tahoma"/>
            <family val="2"/>
          </rPr>
          <t xml:space="preserve">Trastorno  de Estrés Post Traumatico
</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102" authorId="3" shapeId="0" xr:uid="{59A67310-ECA7-4773-B1EF-CA5C6BE3F188}">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t>
        </r>
        <r>
          <rPr>
            <b/>
            <sz val="9"/>
            <color indexed="81"/>
            <rFont val="Tahoma"/>
            <family val="2"/>
          </rPr>
          <t xml:space="preserve"> sección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Trastorno de Pánico</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103" authorId="3" shapeId="0" xr:uid="{75745A2B-2B56-40A0-BD81-1F0149719945}">
      <text>
        <r>
          <rPr>
            <sz val="9"/>
            <color indexed="81"/>
            <rFont val="Tahoma"/>
            <family val="2"/>
          </rPr>
          <t xml:space="preserve">Se considerara como Poblacion Bajo Control 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 ó Agregar Documentos a una Atención
 y en el </t>
        </r>
        <r>
          <rPr>
            <b/>
            <sz val="9"/>
            <color indexed="81"/>
            <rFont val="Tahoma"/>
            <family val="2"/>
          </rPr>
          <t xml:space="preserve">Formulario 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 Tipo de </t>
        </r>
        <r>
          <rPr>
            <b/>
            <sz val="9"/>
            <color indexed="81"/>
            <rFont val="Tahoma"/>
            <family val="2"/>
          </rPr>
          <t>Trastorno de Ansiedad</t>
        </r>
        <r>
          <rPr>
            <sz val="9"/>
            <color indexed="81"/>
            <rFont val="Tahoma"/>
            <family val="2"/>
          </rPr>
          <t xml:space="preserve"> debe selecionar el valor</t>
        </r>
        <r>
          <rPr>
            <b/>
            <sz val="9"/>
            <color indexed="81"/>
            <rFont val="Tahoma"/>
            <family val="2"/>
          </rPr>
          <t xml:space="preserve"> Fobias Sociales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104" authorId="3" shapeId="0" xr:uid="{C7B6305A-1529-42F8-8FE0-5CB725A763EE}">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t>
        </r>
        <r>
          <rPr>
            <b/>
            <sz val="9"/>
            <color indexed="81"/>
            <rFont val="Tahoma"/>
            <family val="2"/>
          </rPr>
          <t xml:space="preserve">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
Ademas en el campo </t>
        </r>
        <r>
          <rPr>
            <b/>
            <sz val="9"/>
            <color indexed="81"/>
            <rFont val="Tahoma"/>
            <family val="2"/>
          </rPr>
          <t>Tipo de Trastorno de Ansiedad</t>
        </r>
        <r>
          <rPr>
            <sz val="9"/>
            <color indexed="81"/>
            <rFont val="Tahoma"/>
            <family val="2"/>
          </rPr>
          <t xml:space="preserve"> debe selecionar el valor</t>
        </r>
        <r>
          <rPr>
            <b/>
            <sz val="9"/>
            <color indexed="81"/>
            <rFont val="Tahoma"/>
            <family val="2"/>
          </rPr>
          <t xml:space="preserve"> Trastorno de Ansiedad Generalizada</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105" authorId="3" shapeId="0" xr:uid="{8C02D5FF-566B-4E60-9D62-6125B54DD303}">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
Ademas en el campo</t>
        </r>
        <r>
          <rPr>
            <b/>
            <sz val="9"/>
            <color indexed="81"/>
            <rFont val="Tahoma"/>
            <family val="2"/>
          </rPr>
          <t xml:space="preserve"> Tipo de Trastorno de Ansiedad </t>
        </r>
        <r>
          <rPr>
            <sz val="9"/>
            <color indexed="81"/>
            <rFont val="Tahoma"/>
            <family val="2"/>
          </rPr>
          <t xml:space="preserve">debe selecionar el valor </t>
        </r>
        <r>
          <rPr>
            <b/>
            <sz val="9"/>
            <color indexed="81"/>
            <rFont val="Tahoma"/>
            <family val="2"/>
          </rPr>
          <t>Otros Trastornos de Ansiedad</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text>
    </comment>
    <comment ref="C106" authorId="6" shapeId="0" xr:uid="{2F45BA75-DD55-4DBA-8BCF-49A346F963D2}">
      <text>
        <r>
          <rPr>
            <sz val="9"/>
            <color indexed="81"/>
            <rFont val="Tahoma"/>
            <family val="2"/>
          </rPr>
          <t>Se considerara como</t>
        </r>
        <r>
          <rPr>
            <b/>
            <sz val="9"/>
            <color indexed="81"/>
            <rFont val="Tahoma"/>
            <family val="2"/>
          </rPr>
          <t xml:space="preserve"> 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 </t>
        </r>
        <r>
          <rPr>
            <b/>
            <sz val="9"/>
            <color indexed="81"/>
            <rFont val="Tahoma"/>
            <family val="2"/>
          </rPr>
          <t xml:space="preserve">Leve
</t>
        </r>
        <r>
          <rPr>
            <sz val="9"/>
            <color indexed="81"/>
            <rFont val="Tahoma"/>
            <family val="2"/>
          </rPr>
          <t xml:space="preserve">
Y registrar en el Campo </t>
        </r>
        <r>
          <rPr>
            <b/>
            <sz val="9"/>
            <color indexed="81"/>
            <rFont val="Tahoma"/>
            <family val="2"/>
          </rPr>
          <t>Fecha Próximo Control una</t>
        </r>
        <r>
          <rPr>
            <sz val="9"/>
            <color indexed="81"/>
            <rFont val="Tahoma"/>
            <family val="2"/>
          </rPr>
          <t xml:space="preserve"> fecha aproximada de su control.
</t>
        </r>
      </text>
    </comment>
    <comment ref="C107" authorId="6" shapeId="0" xr:uid="{40446675-69B8-49E8-8E3E-48FA6D30C748}">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y que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ademas que en el campo </t>
        </r>
        <r>
          <rPr>
            <b/>
            <sz val="9"/>
            <color indexed="81"/>
            <rFont val="Tahoma"/>
            <family val="2"/>
          </rPr>
          <t>Etapa</t>
        </r>
        <r>
          <rPr>
            <sz val="9"/>
            <color indexed="81"/>
            <rFont val="Tahoma"/>
            <family val="2"/>
          </rPr>
          <t xml:space="preserve"> tenga incorporado: </t>
        </r>
        <r>
          <rPr>
            <b/>
            <sz val="9"/>
            <color indexed="81"/>
            <rFont val="Tahoma"/>
            <family val="2"/>
          </rPr>
          <t>Moderado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text>
    </comment>
    <comment ref="C108" authorId="6" shapeId="0" xr:uid="{3A5868DC-FD2E-498A-B6EA-AD3239F67E44}">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t>
        </r>
        <r>
          <rPr>
            <b/>
            <sz val="9"/>
            <color indexed="81"/>
            <rFont val="Tahoma"/>
            <family val="2"/>
          </rPr>
          <t xml:space="preserve"> Avanzado
</t>
        </r>
        <r>
          <rPr>
            <sz val="9"/>
            <color indexed="81"/>
            <rFont val="Tahoma"/>
            <family val="2"/>
          </rPr>
          <t xml:space="preserve">Y registrar en el Campo </t>
        </r>
        <r>
          <rPr>
            <b/>
            <sz val="9"/>
            <color indexed="81"/>
            <rFont val="Tahoma"/>
            <family val="2"/>
          </rPr>
          <t>Fecha Próximo Control</t>
        </r>
        <r>
          <rPr>
            <sz val="9"/>
            <color indexed="81"/>
            <rFont val="Tahoma"/>
            <family val="2"/>
          </rPr>
          <t xml:space="preserve"> una fecha aproximada de su control.
</t>
        </r>
        <r>
          <rPr>
            <sz val="9"/>
            <color indexed="81"/>
            <rFont val="Tahoma"/>
            <family val="2"/>
          </rPr>
          <t xml:space="preserve">
</t>
        </r>
      </text>
    </comment>
    <comment ref="C109" authorId="5" shapeId="0" xr:uid="{33617755-13D3-4973-A267-909AFEF61763}">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Esquizofrenia?</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text>
    </comment>
    <comment ref="C110" authorId="3" shapeId="0" xr:uid="{8779F1C9-91E2-4E9E-BABD-4088152DA3E0}">
      <text>
        <r>
          <rPr>
            <sz val="9"/>
            <color indexed="81"/>
            <rFont val="Tahoma"/>
            <family val="2"/>
          </rPr>
          <t xml:space="preserve">Este dato aparecerá  luego de que en la atención registrada Por Estamento Médico 
Registrada en el </t>
        </r>
        <r>
          <rPr>
            <b/>
            <sz val="9"/>
            <color indexed="81"/>
            <rFont val="Tahoma"/>
            <family val="2"/>
          </rPr>
          <t>Módulo Box - Pacientes Citados  o en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Adaptativo?</t>
        </r>
        <r>
          <rPr>
            <sz val="9"/>
            <color indexed="81"/>
            <rFont val="Tahoma"/>
            <family val="2"/>
          </rPr>
          <t xml:space="preserve"> tenga el Valor </t>
        </r>
        <r>
          <rPr>
            <b/>
            <sz val="9"/>
            <color indexed="81"/>
            <rFont val="Tahoma"/>
            <family val="2"/>
          </rPr>
          <t>Si,</t>
        </r>
        <r>
          <rPr>
            <sz val="9"/>
            <color indexed="81"/>
            <rFont val="Tahoma"/>
            <family val="2"/>
          </rPr>
          <t xml:space="preserve"> además que tenga en el Campo</t>
        </r>
        <r>
          <rPr>
            <b/>
            <sz val="9"/>
            <color indexed="81"/>
            <rFont val="Tahoma"/>
            <family val="2"/>
          </rPr>
          <t xml:space="preserve"> Estado</t>
        </r>
        <r>
          <rPr>
            <sz val="9"/>
            <color indexed="81"/>
            <rFont val="Tahoma"/>
            <family val="2"/>
          </rPr>
          <t xml:space="preserve"> el valor</t>
        </r>
        <r>
          <rPr>
            <b/>
            <sz val="9"/>
            <color indexed="81"/>
            <rFont val="Tahoma"/>
            <family val="2"/>
          </rPr>
          <t xml:space="preserve"> Ingreso , Reingreso o Seguimiento.
Y registrar en el Campo Fecha Próximo Control una fecha aproximada de su control.</t>
        </r>
      </text>
    </comment>
    <comment ref="C111" authorId="5" shapeId="0" xr:uid="{F4E0D721-83B1-4EE6-9F79-A23E8BE29F81}">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Módulo Box - Pacientes Citados ó Registrada en el </t>
        </r>
        <r>
          <rPr>
            <b/>
            <sz val="9"/>
            <color indexed="81"/>
            <rFont val="Tahoma"/>
            <family val="2"/>
          </rPr>
          <t>Módulo Box - Agregar Documentos a una Atención</t>
        </r>
        <r>
          <rPr>
            <sz val="9"/>
            <color indexed="81"/>
            <rFont val="Tahoma"/>
            <family val="2"/>
          </rPr>
          <t xml:space="preserve">
En el F</t>
        </r>
        <r>
          <rPr>
            <b/>
            <sz val="9"/>
            <color indexed="81"/>
            <rFont val="Tahoma"/>
            <family val="2"/>
          </rPr>
          <t xml:space="preserve">ormulario Control de Salud Mental </t>
        </r>
        <r>
          <rPr>
            <sz val="9"/>
            <color indexed="81"/>
            <rFont val="Tahoma"/>
            <family val="2"/>
          </rPr>
          <t xml:space="preserve">en el Campo </t>
        </r>
        <r>
          <rPr>
            <b/>
            <sz val="9"/>
            <color indexed="81"/>
            <rFont val="Tahoma"/>
            <family val="2"/>
          </rPr>
          <t xml:space="preserve">¿Primer Episodio Esquizofrenia con Ocupación Regular? </t>
        </r>
        <r>
          <rPr>
            <sz val="9"/>
            <color indexed="81"/>
            <rFont val="Tahoma"/>
            <family val="2"/>
          </rPr>
          <t xml:space="preserve">tenga el Valor SI y en el Campo Estado los Valores </t>
        </r>
        <r>
          <rPr>
            <b/>
            <sz val="9"/>
            <color indexed="81"/>
            <rFont val="Tahoma"/>
            <family val="2"/>
          </rPr>
          <t xml:space="preserve">Ingreso, Reingreso o 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112" authorId="5" shapeId="0" xr:uid="{C37F4F64-568F-4964-BC62-56BBA2562755}">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retraso mental?</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Reingreso o Seguimiento.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text>
    </comment>
    <comment ref="C113" authorId="5" shapeId="0" xr:uid="{A4478D13-8DE3-485B-A15E-EF811CBBB281}">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Trastorno de Personalidad? </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Reingreso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
</t>
        </r>
      </text>
    </comment>
    <comment ref="C114" authorId="1" shapeId="0" xr:uid="{EBEE82F1-EF95-4E3B-9BB0-E90B67FEDFAD}">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t>
        </r>
        <r>
          <rPr>
            <sz val="9"/>
            <color indexed="81"/>
            <rFont val="Tahoma"/>
            <family val="2"/>
          </rPr>
          <t>en sección</t>
        </r>
        <r>
          <rPr>
            <b/>
            <sz val="9"/>
            <color indexed="81"/>
            <rFont val="Tahoma"/>
            <family val="2"/>
          </rPr>
          <t xml:space="preserve"> Trastornos del Desarrollo</t>
        </r>
        <r>
          <rPr>
            <sz val="9"/>
            <color indexed="81"/>
            <rFont val="Tahoma"/>
            <family val="2"/>
          </rPr>
          <t xml:space="preserve"> en el campo</t>
        </r>
        <r>
          <rPr>
            <b/>
            <sz val="9"/>
            <color indexed="81"/>
            <rFont val="Tahoma"/>
            <family val="2"/>
          </rPr>
          <t xml:space="preserve"> ¿Tiene Autismo?</t>
        </r>
        <r>
          <rPr>
            <sz val="9"/>
            <color indexed="81"/>
            <rFont val="Tahoma"/>
            <family val="2"/>
          </rPr>
          <t xml:space="preserve"> tenga el valor</t>
        </r>
        <r>
          <rPr>
            <b/>
            <sz val="9"/>
            <color indexed="81"/>
            <rFont val="Tahoma"/>
            <family val="2"/>
          </rPr>
          <t xml:space="preserve"> SI</t>
        </r>
        <r>
          <rPr>
            <sz val="9"/>
            <color indexed="81"/>
            <rFont val="Tahoma"/>
            <family val="2"/>
          </rPr>
          <t xml:space="preserve"> y en campo</t>
        </r>
        <r>
          <rPr>
            <b/>
            <sz val="9"/>
            <color indexed="81"/>
            <rFont val="Tahoma"/>
            <family val="2"/>
          </rPr>
          <t xml:space="preserve"> Estado </t>
        </r>
        <r>
          <rPr>
            <sz val="9"/>
            <color indexed="81"/>
            <rFont val="Tahoma"/>
            <family val="2"/>
          </rPr>
          <t>los Valores</t>
        </r>
        <r>
          <rPr>
            <b/>
            <sz val="9"/>
            <color indexed="81"/>
            <rFont val="Tahoma"/>
            <family val="2"/>
          </rPr>
          <t xml:space="preserve">: Ingreso, Reingreso Seguimiento
Y registrar en el Campo Fecha Próximo Control una fecha aproximada de su control.
</t>
        </r>
      </text>
    </comment>
    <comment ref="C115" authorId="1" shapeId="0" xr:uid="{246E35B2-0F19-4600-B843-4DC5D79AEC99}">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 ¿Tiene Asperger? tenga el valor SI y en campo Estado los Valores: Ingreso, Reingreso o Seguimiento
Y registrar en el Campo Fecha Próximo Control una fecha aproximada de su control.
</t>
        </r>
      </text>
    </comment>
    <comment ref="C116" authorId="1" shapeId="0" xr:uid="{2B555F37-69B1-4455-B98D-3AB4D62680DE}">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Formulario Control de Salud Mental en sección Trastornos del Desarrollo en el campo ¿Tiene Sindrome de Rett? tenga el valor SI y en campo Estado los Valores: Ingreso, Reingreso o Seguimiento
Y registrar en el Campo Fecha Próximo Control una fecha aproximada de su control.</t>
        </r>
      </text>
    </comment>
    <comment ref="C117" authorId="1" shapeId="0" xr:uid="{7CA45FCD-18E3-4680-A50A-E7A88188F230}">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 ¿Tiene trastorno desintegrativo de la infancia? tenga el valor SI y en campo Estado los Valores: Ingreso o Seguimiento
Y registrar en el Campo Fecha Próximo Control una fecha aproximada de su control.
</t>
        </r>
      </text>
    </comment>
    <comment ref="C118" authorId="1" shapeId="0" xr:uid="{AE44C002-9597-4B27-998D-2D6603169309}">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sección Trastornos del Desarrollo en el campo¿Tiene trastorno generalizado del desarrollo de la infancia? tenga el valor SI y en campo Estado los Valores: Ingreso, Reingreso o Seguimiento
Y registrar en el Campo Fecha Próximo Control una fecha aproximada de su control.
</t>
        </r>
      </text>
    </comment>
    <comment ref="C119" authorId="3" shapeId="0" xr:uid="{844E5CF0-7E5F-4954-B112-3C3DD65D084B}">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Epilepsia?  </t>
        </r>
        <r>
          <rPr>
            <sz val="9"/>
            <color indexed="81"/>
            <rFont val="Tahoma"/>
            <family val="2"/>
          </rPr>
          <t>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Ingreso, Reingreso o Seguimiento.</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text>
    </comment>
    <comment ref="C120" authorId="6" shapeId="0" xr:uid="{FE5E2E76-FFC7-49DA-8EA4-4D60713B2997}">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t>
        </r>
        <r>
          <rPr>
            <b/>
            <sz val="9"/>
            <color indexed="81"/>
            <rFont val="Tahoma"/>
            <family val="2"/>
          </rPr>
          <t xml:space="preserve">
</t>
        </r>
        <r>
          <rPr>
            <sz val="9"/>
            <color indexed="81"/>
            <rFont val="Tahoma"/>
            <family val="2"/>
          </rPr>
          <t>Este dato aparecerá  luego de que en la atención Registrada en el</t>
        </r>
        <r>
          <rPr>
            <b/>
            <sz val="9"/>
            <color indexed="81"/>
            <rFont val="Tahoma"/>
            <family val="2"/>
          </rPr>
          <t xml:space="preserve"> Módulo Box - Pacientes Citados </t>
        </r>
        <r>
          <rPr>
            <sz val="9"/>
            <color indexed="81"/>
            <rFont val="Tahoma"/>
            <family val="2"/>
          </rPr>
          <t>ó Registrada</t>
        </r>
        <r>
          <rPr>
            <b/>
            <sz val="9"/>
            <color indexed="81"/>
            <rFont val="Tahoma"/>
            <family val="2"/>
          </rPr>
          <t xml:space="preserve"> </t>
        </r>
        <r>
          <rPr>
            <sz val="9"/>
            <color indexed="81"/>
            <rFont val="Tahoma"/>
            <family val="2"/>
          </rPr>
          <t>en el</t>
        </r>
        <r>
          <rPr>
            <b/>
            <sz val="9"/>
            <color indexed="81"/>
            <rFont val="Tahoma"/>
            <family val="2"/>
          </rPr>
          <t xml:space="preserve"> Módulo Box - Agregar Documentos a una Atención.
</t>
        </r>
        <r>
          <rPr>
            <sz val="9"/>
            <color indexed="81"/>
            <rFont val="Tahoma"/>
            <family val="2"/>
          </rPr>
          <t>En el Formulario Control de Salud Mental en el Campo</t>
        </r>
        <r>
          <rPr>
            <b/>
            <sz val="9"/>
            <color indexed="81"/>
            <rFont val="Tahoma"/>
            <family val="2"/>
          </rPr>
          <t xml:space="preserve"> Otras (Trastornos no incluidos en esta sección), </t>
        </r>
        <r>
          <rPr>
            <sz val="9"/>
            <color indexed="81"/>
            <rFont val="Tahoma"/>
            <family val="2"/>
          </rPr>
          <t xml:space="preserve">tenga el Valor </t>
        </r>
        <r>
          <rPr>
            <b/>
            <sz val="9"/>
            <color indexed="81"/>
            <rFont val="Tahoma"/>
            <family val="2"/>
          </rPr>
          <t xml:space="preserve">Si </t>
        </r>
        <r>
          <rPr>
            <sz val="9"/>
            <color indexed="81"/>
            <rFont val="Tahoma"/>
            <family val="2"/>
          </rPr>
          <t>y que el Campo Estado los Valores sean:</t>
        </r>
        <r>
          <rPr>
            <b/>
            <sz val="9"/>
            <color indexed="81"/>
            <rFont val="Tahoma"/>
            <family val="2"/>
          </rPr>
          <t xml:space="preserve"> Ingreso, Reingreso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
</t>
        </r>
      </text>
    </comment>
    <comment ref="B125" authorId="5" shapeId="0" xr:uid="{56566380-AF28-472F-93B8-B2AD6A22EBA3}">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"Programa de Rehabilitación Tipo I" </t>
        </r>
        <r>
          <rPr>
            <sz val="9"/>
            <color indexed="81"/>
            <rFont val="Tahoma"/>
            <family val="2"/>
          </rPr>
          <t xml:space="preserve"> en el Campo </t>
        </r>
        <r>
          <rPr>
            <b/>
            <sz val="9"/>
            <color indexed="81"/>
            <rFont val="Tahoma"/>
            <family val="2"/>
          </rPr>
          <t>Estado</t>
        </r>
        <r>
          <rPr>
            <sz val="9"/>
            <color indexed="81"/>
            <rFont val="Tahoma"/>
            <family val="2"/>
          </rPr>
          <t xml:space="preserve"> los Valores sean:</t>
        </r>
        <r>
          <rPr>
            <b/>
            <sz val="9"/>
            <color indexed="81"/>
            <rFont val="Tahoma"/>
            <family val="2"/>
          </rPr>
          <t xml:space="preserve"> Ingreso </t>
        </r>
        <r>
          <rPr>
            <sz val="9"/>
            <color indexed="81"/>
            <rFont val="Tahoma"/>
            <family val="2"/>
          </rPr>
          <t xml:space="preserve">o </t>
        </r>
        <r>
          <rPr>
            <b/>
            <sz val="9"/>
            <color indexed="81"/>
            <rFont val="Tahoma"/>
            <family val="2"/>
          </rPr>
          <t>Seguimiento.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t>
        </r>
        <r>
          <rPr>
            <b/>
            <sz val="9"/>
            <color indexed="81"/>
            <rFont val="Tahoma"/>
            <family val="2"/>
          </rPr>
          <t xml:space="preserve"> Programa De Rehabilitacion Tipo I (Nivel Secundario o de Especialidades).</t>
        </r>
        <r>
          <rPr>
            <sz val="9"/>
            <color indexed="81"/>
            <rFont val="Tahoma"/>
            <family val="2"/>
          </rPr>
          <t xml:space="preserve">
</t>
        </r>
        <r>
          <rPr>
            <b/>
            <sz val="9"/>
            <color indexed="81"/>
            <rFont val="Tahoma"/>
            <family val="2"/>
          </rPr>
          <t xml:space="preserve">
</t>
        </r>
        <r>
          <rPr>
            <b/>
            <sz val="9"/>
            <color indexed="81"/>
            <rFont val="Tahoma"/>
            <family val="2"/>
          </rPr>
          <t xml:space="preserve">
</t>
        </r>
      </text>
    </comment>
    <comment ref="B126" authorId="5" shapeId="0" xr:uid="{59F65942-4810-4E79-BD44-33B7C283E318}">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t>
        </r>
        <r>
          <rPr>
            <sz val="9"/>
            <color indexed="81"/>
            <rFont val="Tahoma"/>
            <family val="2"/>
          </rPr>
          <t xml:space="preserve">- </t>
        </r>
        <r>
          <rPr>
            <b/>
            <sz val="9"/>
            <color indexed="81"/>
            <rFont val="Tahoma"/>
            <family val="2"/>
          </rPr>
          <t>Pacientes Citados ó Registrada en el Módulo Box</t>
        </r>
        <r>
          <rPr>
            <sz val="9"/>
            <color indexed="81"/>
            <rFont val="Tahoma"/>
            <family val="2"/>
          </rPr>
          <t xml:space="preserve"> - </t>
        </r>
        <r>
          <rPr>
            <b/>
            <sz val="9"/>
            <color indexed="81"/>
            <rFont val="Tahoma"/>
            <family val="2"/>
          </rPr>
          <t>Agregar Documentos a una Atención</t>
        </r>
        <r>
          <rPr>
            <sz val="9"/>
            <color indexed="81"/>
            <rFont val="Tahoma"/>
            <family val="2"/>
          </rPr>
          <t>, en</t>
        </r>
        <r>
          <rPr>
            <b/>
            <sz val="9"/>
            <color indexed="81"/>
            <rFont val="Tahoma"/>
            <family val="2"/>
          </rPr>
          <t xml:space="preserve"> 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"Programa de Rehabilitación Tipo II"</t>
        </r>
        <r>
          <rPr>
            <sz val="9"/>
            <color indexed="81"/>
            <rFont val="Tahoma"/>
            <family val="2"/>
          </rPr>
          <t xml:space="preserve">  en el Campo</t>
        </r>
        <r>
          <rPr>
            <b/>
            <sz val="9"/>
            <color indexed="81"/>
            <rFont val="Tahoma"/>
            <family val="2"/>
          </rPr>
          <t xml:space="preserve"> Estado </t>
        </r>
        <r>
          <rPr>
            <sz val="9"/>
            <color indexed="81"/>
            <rFont val="Tahoma"/>
            <family val="2"/>
          </rPr>
          <t xml:space="preserve">los Valores sean: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 </t>
        </r>
        <r>
          <rPr>
            <b/>
            <sz val="9"/>
            <color indexed="81"/>
            <rFont val="Tahoma"/>
            <family val="2"/>
          </rPr>
          <t>Programa De Rehabilitacion Tipo II (Nivel Secundario o de Especialidades).</t>
        </r>
        <r>
          <rPr>
            <sz val="9"/>
            <color indexed="81"/>
            <rFont val="Tahoma"/>
            <family val="2"/>
          </rPr>
          <t xml:space="preserve">
</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fmenares</author>
    <author>Alexis Caceres Zapata</author>
  </authors>
  <commentList>
    <comment ref="A10" authorId="0" shapeId="0" xr:uid="{364BAA37-C582-403E-879F-9604A4102F06}">
      <text>
        <r>
          <rPr>
            <sz val="9"/>
            <color indexed="81"/>
            <rFont val="Tahoma"/>
            <family val="2"/>
          </rPr>
          <t>Corresponde al número total de familias inscritas por sector
geográfico o adscritas al equipo de cabecera por sector, según modalidad de sectorización, a la fecha de corte. 
Tipos de establecimientos:
CESFAM, CECOF, Posta Rurales y  Hospitales comunitarios.</t>
        </r>
      </text>
    </comment>
    <comment ref="A11" authorId="0" shapeId="0" xr:uid="{03B2D095-93E1-4DB0-BBBF-AFA9A23100FD}">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registre algún </t>
        </r>
        <r>
          <rPr>
            <b/>
            <sz val="9"/>
            <color indexed="81"/>
            <rFont val="Tahoma"/>
            <family val="2"/>
          </rPr>
          <t>Riesgo</t>
        </r>
        <r>
          <rPr>
            <sz val="9"/>
            <color indexed="81"/>
            <rFont val="Tahoma"/>
            <family val="2"/>
          </rPr>
          <t xml:space="preserve"> en la </t>
        </r>
        <r>
          <rPr>
            <b/>
            <sz val="9"/>
            <color indexed="81"/>
            <rFont val="Tahoma"/>
            <family val="2"/>
          </rPr>
          <t>evaluación familiar</t>
        </r>
        <r>
          <rPr>
            <sz val="9"/>
            <color indexed="81"/>
            <rFont val="Tahoma"/>
            <family val="2"/>
          </rPr>
          <t>.
Se Contabiliza en esta sección a todas las Familias evaluadas.
Tipos de establecimientos:
CESFAM, CECOF, Posta Rurales y  Hospitales comunitarios.</t>
        </r>
      </text>
    </comment>
    <comment ref="A12" authorId="0" shapeId="0" xr:uid="{964A1BF1-A2B2-43BD-AC29-3181B16C4C42}">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Bajo</t>
        </r>
        <r>
          <rPr>
            <sz val="9"/>
            <color indexed="81"/>
            <rFont val="Tahoma"/>
            <family val="2"/>
          </rPr>
          <t xml:space="preserve"> en la </t>
        </r>
        <r>
          <rPr>
            <b/>
            <sz val="9"/>
            <color indexed="81"/>
            <rFont val="Tahoma"/>
            <family val="2"/>
          </rPr>
          <t xml:space="preserve">evaluación familiar.
</t>
        </r>
        <r>
          <rPr>
            <sz val="9"/>
            <color indexed="81"/>
            <rFont val="Tahoma"/>
            <family val="2"/>
          </rPr>
          <t xml:space="preserve">Tipos de establecimientos:
CESFAM, CECOF, Posta Rurales y  Hospitales comunitarios.
</t>
        </r>
      </text>
    </comment>
    <comment ref="A13" authorId="0" shapeId="0" xr:uid="{EB323789-CDAC-44FD-8E9F-8B20D999A1BD}">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Medio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CESFAM, CECOF, Posta Rurales y  Hospitales comunitarios.</t>
        </r>
      </text>
    </comment>
    <comment ref="A14" authorId="0" shapeId="0" xr:uid="{EE0E0BDE-CA23-4334-8D22-547FA69F4F19}">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Alto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CESFAM, CECOF, Posta Rurales y  Hospitales comunitarios.</t>
        </r>
      </text>
    </comment>
    <comment ref="A17" authorId="0" shapeId="0" xr:uid="{13FC4360-31DE-4E01-8240-94B61A6E26B7}">
      <text>
        <r>
          <rPr>
            <sz val="9"/>
            <color indexed="81"/>
            <rFont val="Tahoma"/>
            <family val="2"/>
          </rPr>
          <t xml:space="preserve">Corresponde al número total de familias inscritas por sector geográfico o adscritas al equipo de cabecera por sector, según modalidad de sectorización, a la fecha de corte. 
Tipos de establecimientos:
Posta Salud Rural y Consultorio General Rural
</t>
        </r>
      </text>
    </comment>
    <comment ref="A18" authorId="0" shapeId="0" xr:uid="{8895C421-5E78-427D-8E8A-4C57D16B0309}">
      <text>
        <r>
          <rPr>
            <sz val="9"/>
            <color indexed="81"/>
            <rFont val="Tahoma"/>
            <family val="2"/>
          </rPr>
          <t>Este dato aparecerá  luego de que en la atención  registrada en</t>
        </r>
        <r>
          <rPr>
            <b/>
            <sz val="9"/>
            <color indexed="81"/>
            <rFont val="Tahoma"/>
            <family val="2"/>
          </rPr>
          <t xml:space="preserve"> módulo BOX / Ficha Familiar</t>
        </r>
        <r>
          <rPr>
            <sz val="9"/>
            <color indexed="81"/>
            <rFont val="Tahoma"/>
            <family val="2"/>
          </rPr>
          <t xml:space="preserve">, el profesional registre algún </t>
        </r>
        <r>
          <rPr>
            <b/>
            <sz val="9"/>
            <color indexed="81"/>
            <rFont val="Tahoma"/>
            <family val="2"/>
          </rPr>
          <t>Riesgo</t>
        </r>
        <r>
          <rPr>
            <sz val="9"/>
            <color indexed="81"/>
            <rFont val="Tahoma"/>
            <family val="2"/>
          </rPr>
          <t xml:space="preserve"> en la </t>
        </r>
        <r>
          <rPr>
            <b/>
            <sz val="9"/>
            <color indexed="81"/>
            <rFont val="Tahoma"/>
            <family val="2"/>
          </rPr>
          <t>evaluación familiar</t>
        </r>
        <r>
          <rPr>
            <sz val="9"/>
            <color indexed="81"/>
            <rFont val="Tahoma"/>
            <family val="2"/>
          </rPr>
          <t xml:space="preserve">.
Se Contabiliza en esta sección a todas las Familias evaluadas.
Tipos de establecimientos:
Posta Salud Rural y Consultorio General Rural </t>
        </r>
      </text>
    </comment>
    <comment ref="A19" authorId="0" shapeId="0" xr:uid="{556FF233-BDC1-4903-B954-1586BAF0EAA6}">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Bajo</t>
        </r>
        <r>
          <rPr>
            <sz val="9"/>
            <color indexed="81"/>
            <rFont val="Tahoma"/>
            <family val="2"/>
          </rPr>
          <t xml:space="preserve"> en la </t>
        </r>
        <r>
          <rPr>
            <b/>
            <sz val="9"/>
            <color indexed="81"/>
            <rFont val="Tahoma"/>
            <family val="2"/>
          </rPr>
          <t>evaluación familiar.</t>
        </r>
        <r>
          <rPr>
            <sz val="9"/>
            <color indexed="81"/>
            <rFont val="Tahoma"/>
            <family val="2"/>
          </rPr>
          <t xml:space="preserve">
Tipos de establecimientos:
Posta Salud Rural y Consultorios General Rural.</t>
        </r>
      </text>
    </comment>
    <comment ref="A20" authorId="0" shapeId="0" xr:uid="{B34796D4-67D9-48EF-99FD-7651F6C6E5EC}">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 xml:space="preserve">Riesgo Medio </t>
        </r>
        <r>
          <rPr>
            <sz val="9"/>
            <color indexed="81"/>
            <rFont val="Tahoma"/>
            <family val="2"/>
          </rPr>
          <t xml:space="preserve">en la </t>
        </r>
        <r>
          <rPr>
            <b/>
            <sz val="9"/>
            <color indexed="81"/>
            <rFont val="Tahoma"/>
            <family val="2"/>
          </rPr>
          <t xml:space="preserve">evaluación familiar.
</t>
        </r>
        <r>
          <rPr>
            <sz val="9"/>
            <color indexed="81"/>
            <rFont val="Tahoma"/>
            <family val="2"/>
          </rPr>
          <t>Tipos de establecimientos:
Posta Salud Rural y Consultorio General Rural.</t>
        </r>
      </text>
    </comment>
    <comment ref="A21" authorId="0" shapeId="0" xr:uid="{11947D32-0CBC-4E90-B2E6-A8C8DFDC6F4D}">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Alto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Posta Salud Rural y Consultorio General Rural.</t>
        </r>
      </text>
    </comment>
    <comment ref="A24" authorId="1" shapeId="0" xr:uid="{E15CF17A-1E4F-41E0-9DD7-87D9FBA1F491}">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registre algún Riesgo en la evaluación familiar.
 Y
Que en el </t>
        </r>
        <r>
          <rPr>
            <b/>
            <sz val="9"/>
            <color indexed="81"/>
            <rFont val="Tahoma"/>
            <family val="2"/>
          </rPr>
          <t>Formulario de Plan de Intervención</t>
        </r>
        <r>
          <rPr>
            <sz val="9"/>
            <color indexed="81"/>
            <rFont val="Tahoma"/>
            <family val="2"/>
          </rPr>
          <t xml:space="preserve">, tenga al menos un Plan de intervención realizado en el semestre, a la fecha de corte.
Lo anterior, de acuerdo al </t>
        </r>
        <r>
          <rPr>
            <b/>
            <sz val="9"/>
            <color indexed="81"/>
            <rFont val="Tahoma"/>
            <family val="2"/>
          </rPr>
          <t>Sector de la Familia</t>
        </r>
        <r>
          <rPr>
            <sz val="9"/>
            <color indexed="81"/>
            <rFont val="Tahoma"/>
            <family val="2"/>
          </rPr>
          <t xml:space="preserve">.
</t>
        </r>
        <r>
          <rPr>
            <b/>
            <sz val="9"/>
            <color indexed="81"/>
            <rFont val="Tahoma"/>
            <family val="2"/>
          </rPr>
          <t>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r>
          <rPr>
            <sz val="9"/>
            <color indexed="81"/>
            <rFont val="Tahoma"/>
            <family val="2"/>
          </rPr>
          <t xml:space="preserve">
</t>
        </r>
      </text>
    </comment>
    <comment ref="B25" authorId="1" shapeId="0" xr:uid="{217A2E18-5F21-40A6-8399-2845A597342D}">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módulo BOX / Ficha Familiar,  </t>
        </r>
        <r>
          <rPr>
            <sz val="9"/>
            <color indexed="81"/>
            <rFont val="Tahoma"/>
            <family val="2"/>
          </rPr>
          <t>el profesional seleccione</t>
        </r>
        <r>
          <rPr>
            <b/>
            <sz val="9"/>
            <color indexed="81"/>
            <rFont val="Tahoma"/>
            <family val="2"/>
          </rPr>
          <t xml:space="preserve"> Riesgo Bajo en la evaluación familiar.
Y
</t>
        </r>
        <r>
          <rPr>
            <sz val="9"/>
            <color indexed="81"/>
            <rFont val="Tahoma"/>
            <family val="2"/>
          </rPr>
          <t>Que en el</t>
        </r>
        <r>
          <rPr>
            <b/>
            <sz val="9"/>
            <color indexed="81"/>
            <rFont val="Tahoma"/>
            <family val="2"/>
          </rPr>
          <t xml:space="preserve"> Formulario de Plan de Intervención, NO </t>
        </r>
        <r>
          <rPr>
            <sz val="9"/>
            <color indexed="81"/>
            <rFont val="Tahoma"/>
            <family val="2"/>
          </rPr>
          <t>tenga un Plan de intervención realizado a la fecha de corte</t>
        </r>
        <r>
          <rPr>
            <b/>
            <sz val="9"/>
            <color indexed="81"/>
            <rFont val="Tahoma"/>
            <family val="2"/>
          </rPr>
          <t>.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26" authorId="1" shapeId="0" xr:uid="{9B0CF1DB-4435-473C-B8EF-39B4B4B40891}">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seleccione</t>
        </r>
        <r>
          <rPr>
            <b/>
            <sz val="9"/>
            <color indexed="81"/>
            <rFont val="Tahoma"/>
            <family val="2"/>
          </rPr>
          <t xml:space="preserve"> Riesgo Medio en la evaluación familiar.
Y
</t>
        </r>
        <r>
          <rPr>
            <sz val="9"/>
            <color indexed="81"/>
            <rFont val="Tahoma"/>
            <family val="2"/>
          </rPr>
          <t xml:space="preserve">Que en el </t>
        </r>
        <r>
          <rPr>
            <b/>
            <sz val="9"/>
            <color indexed="81"/>
            <rFont val="Tahoma"/>
            <family val="2"/>
          </rPr>
          <t xml:space="preserve">Formulario de Plan de Intervención, NO </t>
        </r>
        <r>
          <rPr>
            <sz val="9"/>
            <color indexed="81"/>
            <rFont val="Tahoma"/>
            <family val="2"/>
          </rPr>
          <t>tenga un Plan de intervención realizado a la fecha de corte.</t>
        </r>
        <r>
          <rPr>
            <b/>
            <sz val="9"/>
            <color indexed="81"/>
            <rFont val="Tahoma"/>
            <family val="2"/>
          </rPr>
          <t xml:space="preserve">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27" authorId="1" shapeId="0" xr:uid="{9B6328C9-36F2-4C9D-BB5D-E271C9F5D873}">
      <text>
        <r>
          <rPr>
            <sz val="9"/>
            <color indexed="81"/>
            <rFont val="Tahoma"/>
            <family val="2"/>
          </rPr>
          <t>Este dato aparecerá  luego de que en la atención</t>
        </r>
        <r>
          <rPr>
            <b/>
            <sz val="9"/>
            <color indexed="81"/>
            <rFont val="Tahoma"/>
            <family val="2"/>
          </rPr>
          <t xml:space="preserve">  registrada en módulo BOX / Ficha Familiar, </t>
        </r>
        <r>
          <rPr>
            <sz val="9"/>
            <color indexed="81"/>
            <rFont val="Tahoma"/>
            <family val="2"/>
          </rPr>
          <t xml:space="preserve">el profesional seleccione </t>
        </r>
        <r>
          <rPr>
            <b/>
            <sz val="9"/>
            <color indexed="81"/>
            <rFont val="Tahoma"/>
            <family val="2"/>
          </rPr>
          <t xml:space="preserve">Riesgo Alto en la evaluación familiar.
Y
</t>
        </r>
        <r>
          <rPr>
            <sz val="9"/>
            <color indexed="81"/>
            <rFont val="Tahoma"/>
            <family val="2"/>
          </rPr>
          <t>Que en el</t>
        </r>
        <r>
          <rPr>
            <b/>
            <sz val="9"/>
            <color indexed="81"/>
            <rFont val="Tahoma"/>
            <family val="2"/>
          </rPr>
          <t xml:space="preserve"> Formulario de Plan de Intervención, NO </t>
        </r>
        <r>
          <rPr>
            <sz val="9"/>
            <color indexed="81"/>
            <rFont val="Tahoma"/>
            <family val="2"/>
          </rPr>
          <t>tenga un Plan de intervención realizado a la fecha de corte.</t>
        </r>
        <r>
          <rPr>
            <b/>
            <sz val="9"/>
            <color indexed="81"/>
            <rFont val="Tahoma"/>
            <family val="2"/>
          </rPr>
          <t xml:space="preserve">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29" authorId="1" shapeId="0" xr:uid="{FCEDDB90-EEB0-44E2-A037-433357500E5D}">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se complete el campo,</t>
        </r>
        <r>
          <rPr>
            <b/>
            <sz val="9"/>
            <color indexed="81"/>
            <rFont val="Tahoma"/>
            <family val="2"/>
          </rPr>
          <t xml:space="preserve"> Egreso de Plan (es) de Intervención </t>
        </r>
        <r>
          <rPr>
            <sz val="9"/>
            <color indexed="81"/>
            <rFont val="Tahoma"/>
            <family val="2"/>
          </rPr>
          <t>con el valor:</t>
        </r>
        <r>
          <rPr>
            <b/>
            <sz val="9"/>
            <color indexed="81"/>
            <rFont val="Tahoma"/>
            <family val="2"/>
          </rPr>
          <t xml:space="preserve"> Alta por cumplir plan de intervención</t>
        </r>
      </text>
    </comment>
    <comment ref="B30" authorId="1" shapeId="0" xr:uid="{02DE73CB-2680-42BE-B019-A822560712EC}">
      <text>
        <r>
          <rPr>
            <sz val="9"/>
            <color indexed="81"/>
            <rFont val="Tahoma"/>
            <family val="2"/>
          </rPr>
          <t>Este dato aparecerá  luego de que en la atención  registrada</t>
        </r>
        <r>
          <rPr>
            <b/>
            <sz val="9"/>
            <color indexed="81"/>
            <rFont val="Tahoma"/>
            <family val="2"/>
          </rPr>
          <t xml:space="preserve"> </t>
        </r>
        <r>
          <rPr>
            <sz val="9"/>
            <color indexed="81"/>
            <rFont val="Tahoma"/>
            <family val="2"/>
          </rPr>
          <t>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se complete el campo,</t>
        </r>
        <r>
          <rPr>
            <b/>
            <sz val="9"/>
            <color indexed="81"/>
            <rFont val="Tahoma"/>
            <family val="2"/>
          </rPr>
          <t xml:space="preserve"> Egreso de Plan (es) de Intervención con el valor: Traslado de Establecimiento</t>
        </r>
      </text>
    </comment>
    <comment ref="B31" authorId="1" shapeId="0" xr:uid="{81B83C19-6777-47C0-A9DD-FC7A9F0DEE98}">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 xml:space="preserve">se complete el campo, </t>
        </r>
        <r>
          <rPr>
            <b/>
            <sz val="9"/>
            <color indexed="81"/>
            <rFont val="Tahoma"/>
            <family val="2"/>
          </rPr>
          <t>Egreso de Plan (es) de Intervención con el valor: Derivación por complejidad del caso</t>
        </r>
      </text>
    </comment>
    <comment ref="B32" authorId="1" shapeId="0" xr:uid="{134619AE-2225-4B15-B352-0B0A1CD1A69D}">
      <text>
        <r>
          <rPr>
            <sz val="9"/>
            <color indexed="81"/>
            <rFont val="Tahoma"/>
            <family val="2"/>
          </rPr>
          <t>Este dato aparecerá  luego de que en la atención  registrada en</t>
        </r>
        <r>
          <rPr>
            <b/>
            <sz val="9"/>
            <color indexed="81"/>
            <rFont val="Tahoma"/>
            <family val="2"/>
          </rPr>
          <t xml:space="preserve"> módulo BOX / Ficha Familiar</t>
        </r>
        <r>
          <rPr>
            <sz val="9"/>
            <color indexed="81"/>
            <rFont val="Tahoma"/>
            <family val="2"/>
          </rPr>
          <t>, el profesional regitre lo siguente:</t>
        </r>
        <r>
          <rPr>
            <b/>
            <sz val="9"/>
            <color indexed="81"/>
            <rFont val="Tahoma"/>
            <family val="2"/>
          </rPr>
          <t xml:space="preserve">
En el Formulario de Plan de Intervención, </t>
        </r>
        <r>
          <rPr>
            <sz val="9"/>
            <color indexed="81"/>
            <rFont val="Tahoma"/>
            <family val="2"/>
          </rPr>
          <t xml:space="preserve">se complete el campo, </t>
        </r>
        <r>
          <rPr>
            <b/>
            <sz val="9"/>
            <color indexed="81"/>
            <rFont val="Tahoma"/>
            <family val="2"/>
          </rPr>
          <t>Egreso de Plan (es) de Intervención con el valor: Por abandono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Marcela Antiman Villegas</author>
    <author>Usuario</author>
  </authors>
  <commentList>
    <comment ref="L10" authorId="0" shapeId="0" xr:uid="{A1F9386F-555E-4BD5-9E02-EED2755113DE}">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 </t>
        </r>
        <r>
          <rPr>
            <b/>
            <sz val="9"/>
            <color indexed="81"/>
            <rFont val="Tahoma"/>
            <family val="2"/>
          </rPr>
          <t>Formulario Ficha Salud Integral Adolescente (Clap Modificada):</t>
        </r>
        <r>
          <rPr>
            <sz val="9"/>
            <color indexed="81"/>
            <rFont val="Tahoma"/>
            <family val="2"/>
          </rPr>
          <t xml:space="preserve">
1.-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O10" authorId="0" shapeId="0" xr:uid="{89F4E501-5E2F-40D3-86FA-9FDED2A87097}">
      <text>
        <r>
          <rPr>
            <sz val="9"/>
            <color indexed="81"/>
            <rFont val="Tahoma"/>
            <family val="2"/>
          </rPr>
          <t>Se contabilizarán a los pacientes que tengan en</t>
        </r>
        <r>
          <rPr>
            <b/>
            <sz val="9"/>
            <color indexed="81"/>
            <rFont val="Tahoma"/>
            <family val="2"/>
          </rPr>
          <t xml:space="preserve">  Antecedentes del usuario APS / Pestaña "Identificacion"  Item  Alertas Adm.  "MIGRANTE"
 </t>
        </r>
        <r>
          <rPr>
            <sz val="9"/>
            <color indexed="81"/>
            <rFont val="Tahoma"/>
            <family val="2"/>
          </rPr>
          <t xml:space="preserve">y Cumplan con registro de Ficha CLAP modificada realizado. </t>
        </r>
      </text>
    </comment>
    <comment ref="A12" authorId="1" shapeId="0" xr:uid="{84FAA035-F51C-4E2D-8DAD-275DA6B9E880}">
      <text>
        <r>
          <rPr>
            <b/>
            <sz val="9"/>
            <color indexed="81"/>
            <rFont val="Tahoma"/>
            <family val="2"/>
          </rPr>
          <t xml:space="preserve">Corresponde a la Población Total de Adolescentes de 10 hasta 19 Años 29 Dias que se encuentren Bajo Control, Evaluados con Ficha Salud Integral Adolescente (CLAP Modificada) hasta un plazo Máximo de Inasistencia a su Citación de 11 Meses y 29 Dias a la Fecha de Corte. </t>
        </r>
      </text>
    </comment>
    <comment ref="L14" authorId="0" shapeId="0" xr:uid="{BF8F5E0A-8EA1-473D-B08B-B457CDAC745F}">
      <text>
        <r>
          <rPr>
            <sz val="9"/>
            <color indexed="81"/>
            <rFont val="Tahoma"/>
            <family val="2"/>
          </rPr>
          <t xml:space="preserve">Este dato aparecerá  luego de que en la atención registrada en </t>
        </r>
        <r>
          <rPr>
            <b/>
            <sz val="9"/>
            <color indexed="81"/>
            <rFont val="Tahoma"/>
            <family val="2"/>
          </rPr>
          <t xml:space="preserve">Modulo Box/ Pacientes Citados o Modulo Box / Agregar Documento a una atencion </t>
        </r>
        <r>
          <rPr>
            <sz val="9"/>
            <color indexed="81"/>
            <rFont val="Tahoma"/>
            <family val="2"/>
          </rPr>
          <t xml:space="preserve">se complete en el </t>
        </r>
        <r>
          <rPr>
            <b/>
            <sz val="9"/>
            <color indexed="81"/>
            <rFont val="Tahoma"/>
            <family val="2"/>
          </rPr>
          <t>Formulario Ficha Salud Integral Adolescente (Clap Modificada):</t>
        </r>
        <r>
          <rPr>
            <sz val="9"/>
            <color indexed="81"/>
            <rFont val="Tahoma"/>
            <family val="2"/>
          </rPr>
          <t xml:space="preserve">
1.- En el Campo</t>
        </r>
        <r>
          <rPr>
            <b/>
            <sz val="9"/>
            <color indexed="81"/>
            <rFont val="Tahoma"/>
            <family val="2"/>
          </rPr>
          <t xml:space="preserve"> ¿Pueblo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t>
        </r>
        <r>
          <rPr>
            <b/>
            <sz val="9"/>
            <color indexed="81"/>
            <rFont val="Tahoma"/>
            <family val="2"/>
          </rPr>
          <t xml:space="preserve"> ¿Cual Pueblo Indigena? </t>
        </r>
        <r>
          <rPr>
            <sz val="9"/>
            <color indexed="81"/>
            <rFont val="Tahoma"/>
            <family val="2"/>
          </rPr>
          <t xml:space="preserve">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O14" authorId="0" shapeId="0" xr:uid="{C81C36DA-D876-464A-BBFA-58C6AD5236BF}">
      <text>
        <r>
          <rPr>
            <sz val="9"/>
            <color indexed="81"/>
            <rFont val="Tahoma"/>
            <family val="2"/>
          </rPr>
          <t xml:space="preserve">Se contabilizarán a los pacientes que tengan en  </t>
        </r>
        <r>
          <rPr>
            <b/>
            <sz val="9"/>
            <color indexed="81"/>
            <rFont val="Tahoma"/>
            <family val="2"/>
          </rPr>
          <t xml:space="preserve">Antecedentes del usuario APS / Pestaña "Identificacion"  Item  Alertas Adm.  "MIGRANTE"
</t>
        </r>
        <r>
          <rPr>
            <sz val="9"/>
            <color indexed="81"/>
            <rFont val="Tahoma"/>
            <family val="2"/>
          </rPr>
          <t xml:space="preserve"> y Cumplan con registro de Ficha CLAP modificada realizado. </t>
        </r>
      </text>
    </comment>
    <comment ref="B16" authorId="1" shapeId="0" xr:uid="{6AF8FDAB-EBE8-41A2-9245-7955C6AF7374}">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+ 3 D.E. lo que corresponde a Obesidad Severa.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17" authorId="1" shapeId="0" xr:uid="{DBE951A9-C089-4AD3-AFD2-85CFBDC0CB47}">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en el Campo</t>
        </r>
        <r>
          <rPr>
            <b/>
            <sz val="9"/>
            <color indexed="81"/>
            <rFont val="Tahoma"/>
            <family val="2"/>
          </rPr>
          <t xml:space="preserve"> IMC/DE </t>
        </r>
        <r>
          <rPr>
            <sz val="9"/>
            <color indexed="81"/>
            <rFont val="Tahoma"/>
            <family val="2"/>
          </rPr>
          <t xml:space="preserve"> se registre un valor ≥ + 2.0 a+2,9  D.E. lo que corresponde a Obesidad.
 Y 
el campo</t>
        </r>
        <r>
          <rPr>
            <b/>
            <sz val="9"/>
            <color indexed="81"/>
            <rFont val="Tahoma"/>
            <family val="2"/>
          </rPr>
          <t xml:space="preserve"> "Fecha Proxima Visita" </t>
        </r>
        <r>
          <rPr>
            <sz val="9"/>
            <color indexed="81"/>
            <rFont val="Tahoma"/>
            <family val="2"/>
          </rPr>
          <t>sea con un plazo máximo de inasistencia de</t>
        </r>
        <r>
          <rPr>
            <b/>
            <sz val="9"/>
            <color indexed="81"/>
            <rFont val="Tahoma"/>
            <family val="2"/>
          </rPr>
          <t xml:space="preserve"> 11 meses y 29 días</t>
        </r>
        <r>
          <rPr>
            <sz val="9"/>
            <color indexed="81"/>
            <rFont val="Tahoma"/>
            <family val="2"/>
          </rPr>
          <t>, desde la última citación a la fecha de corte.</t>
        </r>
      </text>
    </comment>
    <comment ref="B18" authorId="1" shapeId="0" xr:uid="{2CBE3A6E-79AD-45C6-A6CB-A91F9B76C537}">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en el Campo</t>
        </r>
        <r>
          <rPr>
            <b/>
            <sz val="9"/>
            <color indexed="81"/>
            <rFont val="Tahoma"/>
            <family val="2"/>
          </rPr>
          <t xml:space="preserve"> IMC/DE </t>
        </r>
        <r>
          <rPr>
            <sz val="9"/>
            <color indexed="81"/>
            <rFont val="Tahoma"/>
            <family val="2"/>
          </rPr>
          <t xml:space="preserve"> se registre un valor ≥ + 1.0 a + 1,9 D.E. lo que corresponde a Sobrepeso.
 Y 
el campo</t>
        </r>
        <r>
          <rPr>
            <b/>
            <sz val="9"/>
            <color indexed="81"/>
            <rFont val="Tahoma"/>
            <family val="2"/>
          </rPr>
          <t xml:space="preserve"> "Fecha Proxima Visita" </t>
        </r>
        <r>
          <rPr>
            <sz val="9"/>
            <color indexed="81"/>
            <rFont val="Tahoma"/>
            <family val="2"/>
          </rPr>
          <t>sea con un plazo máximo de inasistencia de</t>
        </r>
        <r>
          <rPr>
            <b/>
            <sz val="9"/>
            <color indexed="81"/>
            <rFont val="Tahoma"/>
            <family val="2"/>
          </rPr>
          <t xml:space="preserve"> 11 meses y 29 días</t>
        </r>
        <r>
          <rPr>
            <sz val="9"/>
            <color indexed="81"/>
            <rFont val="Tahoma"/>
            <family val="2"/>
          </rPr>
          <t>, desde la última citación a la fecha de corte.</t>
        </r>
        <r>
          <rPr>
            <b/>
            <sz val="9"/>
            <color indexed="81"/>
            <rFont val="Tahoma"/>
            <family val="2"/>
          </rPr>
          <t xml:space="preserve">
</t>
        </r>
      </text>
    </comment>
    <comment ref="B19" authorId="1" shapeId="0" xr:uid="{8D205374-02F3-4CF9-A75F-BB4C8199A9E6}">
      <text>
        <r>
          <rPr>
            <b/>
            <sz val="9"/>
            <color indexed="81"/>
            <rFont val="Tahoma"/>
            <family val="2"/>
          </rPr>
          <t xml:space="preserve">Corresponde a la suma de Pacientes con Obesidad Severa, Obesidad y Sobrepeso
</t>
        </r>
      </text>
    </comment>
    <comment ref="B20" authorId="0" shapeId="0" xr:uid="{DE984E82-5303-4AE4-8949-F9CD897E2A28}">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-1.0 a-1,9 D.E. lo que corresponde a Bajo Peso.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1" authorId="0" shapeId="0" xr:uid="{056D62FF-37CA-4BC9-AE38-7AAFD5C36823}">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-2.0 D.E. lo que corresponde a Desnutrición.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22" authorId="0" shapeId="0" xr:uid="{CA63CDF6-BEA1-4E13-9C1D-3068121C85DC}">
      <text>
        <r>
          <rPr>
            <b/>
            <sz val="9"/>
            <color indexed="81"/>
            <rFont val="Tahoma"/>
            <family val="2"/>
          </rPr>
          <t xml:space="preserve">Corresponde a la suma de Pacientes Bajo Peso y Desnutrición.
</t>
        </r>
      </text>
    </comment>
    <comment ref="B23" authorId="0" shapeId="0" xr:uid="{AFAB10C0-2E8B-4B3A-865F-0032FC42F227}">
      <text>
        <r>
          <rPr>
            <sz val="9"/>
            <color indexed="81"/>
            <rFont val="Tahoma"/>
            <family val="2"/>
          </rPr>
          <t xml:space="preserve">Este dato aparecerá  luego de que en la atención registrada en Modulo Box/ Pacientes Citados o Modulo Box / Agregar Documento a una atencion se complete en el Formulario </t>
        </r>
        <r>
          <rPr>
            <b/>
            <sz val="9"/>
            <color indexed="81"/>
            <rFont val="Tahoma"/>
            <family val="2"/>
          </rPr>
          <t>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-0.9 a+0.9 D.E. lo que corresponde a Talla Normal.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4" authorId="0" shapeId="0" xr:uid="{7D4AE25E-45A6-4154-A446-5E5C5E50CCDF}">
      <text>
        <r>
          <rPr>
            <sz val="9"/>
            <color indexed="81"/>
            <rFont val="Tahoma"/>
            <family val="2"/>
          </rPr>
          <t xml:space="preserve">Modulo Box/ Pacientes Citados o Modulo Box / Agregar Documento a una atencion se complete en el Formulario </t>
        </r>
        <r>
          <rPr>
            <b/>
            <sz val="9"/>
            <color indexed="81"/>
            <rFont val="Tahoma"/>
            <family val="2"/>
          </rPr>
          <t>Ficha Salud Integral Adolescente (Clap Modificada)</t>
        </r>
        <r>
          <rPr>
            <sz val="9"/>
            <color indexed="81"/>
            <rFont val="Tahoma"/>
            <family val="2"/>
          </rPr>
          <t xml:space="preserve">, en el Campo </t>
        </r>
        <r>
          <rPr>
            <b/>
            <sz val="9"/>
            <color indexed="81"/>
            <rFont val="Tahoma"/>
            <family val="2"/>
          </rPr>
          <t xml:space="preserve">DE Talla/Edad </t>
        </r>
        <r>
          <rPr>
            <sz val="9"/>
            <color indexed="81"/>
            <rFont val="Tahoma"/>
            <family val="2"/>
          </rPr>
          <t xml:space="preserve">se registre un valor ≥ +2.0 D.E. lo que corresponde a Talla Alta.
 Y 
el campo </t>
        </r>
        <r>
          <rPr>
            <b/>
            <sz val="9"/>
            <color indexed="81"/>
            <rFont val="Tahoma"/>
            <family val="2"/>
          </rPr>
          <t>"Fecha Proxima Visita"</t>
        </r>
        <r>
          <rPr>
            <sz val="9"/>
            <color indexed="81"/>
            <rFont val="Tahoma"/>
            <family val="2"/>
          </rPr>
          <t xml:space="preserve"> sea con un plazo máximo de inasistencia de</t>
        </r>
        <r>
          <rPr>
            <b/>
            <sz val="9"/>
            <color indexed="81"/>
            <rFont val="Tahoma"/>
            <family val="2"/>
          </rPr>
          <t xml:space="preserve"> 11 meses y 29 días</t>
        </r>
        <r>
          <rPr>
            <sz val="9"/>
            <color indexed="81"/>
            <rFont val="Tahoma"/>
            <family val="2"/>
          </rPr>
          <t>, desde la última citación a la fecha de corte.</t>
        </r>
        <r>
          <rPr>
            <b/>
            <sz val="9"/>
            <color indexed="81"/>
            <rFont val="Tahoma"/>
            <family val="2"/>
          </rPr>
          <t xml:space="preserve">
</t>
        </r>
      </text>
    </comment>
    <comment ref="B25" authorId="0" shapeId="0" xr:uid="{FB943B8F-5B3C-413A-8AD4-FE242819D7A7}">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DE Talla/Edad</t>
        </r>
        <r>
          <rPr>
            <sz val="9"/>
            <color indexed="81"/>
            <rFont val="Tahoma"/>
            <family val="2"/>
          </rPr>
          <t xml:space="preserve"> se registre un valor + 1.0 a+ 1.9 D.E. lo que corresponde a Talla Normal Alta.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26" authorId="0" shapeId="0" xr:uid="{90BEC9C0-459C-492C-AFF3-71BF694F3E07}">
      <text>
        <r>
          <rPr>
            <b/>
            <sz val="9"/>
            <color indexed="81"/>
            <rFont val="Tahoma"/>
            <family val="2"/>
          </rPr>
          <t xml:space="preserve">Corresponde a la suma de pacientes con Talla Alta y Talla Normal Alta </t>
        </r>
      </text>
    </comment>
    <comment ref="B27" authorId="0" shapeId="0" xr:uid="{744B1483-4E37-4979-9A69-45D71163DF07}">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DE Talla Edad</t>
        </r>
        <r>
          <rPr>
            <sz val="9"/>
            <color indexed="81"/>
            <rFont val="Tahoma"/>
            <family val="2"/>
          </rPr>
          <t xml:space="preserve"> se registre un valor  -1.0 a-1.9 D.E. lo que corresponde a Talla Normal Baja.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28" authorId="0" shapeId="0" xr:uid="{285E0509-DDAE-412B-A683-3860FD3ACC03}">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DE Talla Edad</t>
        </r>
        <r>
          <rPr>
            <sz val="9"/>
            <color indexed="81"/>
            <rFont val="Tahoma"/>
            <family val="2"/>
          </rPr>
          <t xml:space="preserve">  se registre un valor ≤ 2.0 D.E. lo que corresponde a Talla Baja.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9" authorId="0" shapeId="0" xr:uid="{1AC1CB4E-9B22-48C9-874B-96404FF2031F}">
      <text>
        <r>
          <rPr>
            <b/>
            <sz val="9"/>
            <color indexed="81"/>
            <rFont val="Tahoma"/>
            <family val="2"/>
          </rPr>
          <t>Corresponde a la suma de pacientes con Talla Normal Baja y Talla Baja.</t>
        </r>
      </text>
    </comment>
    <comment ref="B30" authorId="0" shapeId="0" xr:uid="{A0571D7F-3D5B-4CC6-9639-16377F1D8079}">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en el Campo</t>
        </r>
        <r>
          <rPr>
            <b/>
            <sz val="9"/>
            <color indexed="81"/>
            <rFont val="Tahoma"/>
            <family val="2"/>
          </rPr>
          <t xml:space="preserve"> DE Talla Edad</t>
        </r>
        <r>
          <rPr>
            <sz val="9"/>
            <color indexed="81"/>
            <rFont val="Tahoma"/>
            <family val="2"/>
          </rPr>
          <t xml:space="preserve"> se registre un valor  -0.9 a+0.9 D.E. lo que corresponde a Talla Normal.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B31" authorId="0" shapeId="0" xr:uid="{F69649D2-05D6-4C76-BB2B-2DFDA7DE0E08}">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t>
        </r>
        <r>
          <rPr>
            <b/>
            <sz val="9"/>
            <color indexed="81"/>
            <rFont val="Tahoma"/>
            <family val="2"/>
          </rPr>
          <t>Campo Percentil Cincurferencia de Cintura s</t>
        </r>
        <r>
          <rPr>
            <sz val="9"/>
            <color indexed="81"/>
            <rFont val="Tahoma"/>
            <family val="2"/>
          </rPr>
          <t>eleccione la opción</t>
        </r>
        <r>
          <rPr>
            <b/>
            <sz val="9"/>
            <color indexed="81"/>
            <rFont val="Tahoma"/>
            <family val="2"/>
          </rPr>
          <t xml:space="preserve"> Normal (p&lt;75)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32" authorId="0" shapeId="0" xr:uid="{53DAD28D-373F-4C2A-9EA9-3A12BB6901E2}">
      <text>
        <r>
          <rPr>
            <sz val="9"/>
            <color indexed="81"/>
            <rFont val="Tahoma"/>
            <family val="2"/>
          </rPr>
          <t xml:space="preserve">Este dato aparecerá  luego de que en la atención registrada en Modulo Box/ Pacientes Citados o Modulo Box / Agregar Documento a una atencion se complete en el Formulario </t>
        </r>
        <r>
          <rPr>
            <b/>
            <sz val="9"/>
            <color indexed="81"/>
            <rFont val="Tahoma"/>
            <family val="2"/>
          </rPr>
          <t>Ficha Salud Integral Adolescente (Clap Modificada)</t>
        </r>
        <r>
          <rPr>
            <sz val="9"/>
            <color indexed="81"/>
            <rFont val="Tahoma"/>
            <family val="2"/>
          </rPr>
          <t xml:space="preserve">, en el </t>
        </r>
        <r>
          <rPr>
            <b/>
            <sz val="9"/>
            <color indexed="81"/>
            <rFont val="Tahoma"/>
            <family val="2"/>
          </rPr>
          <t xml:space="preserve">Campo Percentil Cincurferencia de Cintura </t>
        </r>
        <r>
          <rPr>
            <sz val="9"/>
            <color indexed="81"/>
            <rFont val="Tahoma"/>
            <family val="2"/>
          </rPr>
          <t xml:space="preserve">seleccione la opción </t>
        </r>
        <r>
          <rPr>
            <b/>
            <sz val="9"/>
            <color indexed="81"/>
            <rFont val="Tahoma"/>
            <family val="2"/>
          </rPr>
          <t xml:space="preserve">Riesgo De Obesidad (p&lt;75&lt;p&lt;90)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t>
        </r>
        <r>
          <rPr>
            <b/>
            <sz val="9"/>
            <color indexed="81"/>
            <rFont val="Tahoma"/>
            <family val="2"/>
          </rPr>
          <t xml:space="preserve"> 11 meses y 29 días</t>
        </r>
        <r>
          <rPr>
            <sz val="9"/>
            <color indexed="81"/>
            <rFont val="Tahoma"/>
            <family val="2"/>
          </rPr>
          <t>, desde la última citación a la fecha de corte.</t>
        </r>
      </text>
    </comment>
    <comment ref="B33" authorId="0" shapeId="0" xr:uid="{78F99410-FBAF-4AB1-A2A2-217E4661912D}">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t>
        </r>
        <r>
          <rPr>
            <b/>
            <sz val="9"/>
            <color indexed="81"/>
            <rFont val="Tahoma"/>
            <family val="2"/>
          </rPr>
          <t>Campo Percentil Cincurferencia de Cintura</t>
        </r>
        <r>
          <rPr>
            <sz val="9"/>
            <color indexed="81"/>
            <rFont val="Tahoma"/>
            <family val="2"/>
          </rPr>
          <t xml:space="preserve"> seleccione la opción</t>
        </r>
        <r>
          <rPr>
            <b/>
            <sz val="9"/>
            <color indexed="81"/>
            <rFont val="Tahoma"/>
            <family val="2"/>
          </rPr>
          <t xml:space="preserve"> Obesidad Abdominal (p&lt;90)</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35" authorId="0" shapeId="0" xr:uid="{69EF5757-26E4-4EC5-A402-FBD734C7D63F}">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 xml:space="preserve">Deficit Ponderal Bajo Peso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36" authorId="0" shapeId="0" xr:uid="{2AD029FF-AFFE-4FF8-AD15-227919D33B39}">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 xml:space="preserve">Desnutrido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37" authorId="0" shapeId="0" xr:uid="{6CE46DE0-DC85-422B-99CB-73CEC3A90586}">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 xml:space="preserve">Sobrepeso / Riesgo Obesidad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38" authorId="0" shapeId="0" xr:uid="{73AD18C8-C6A0-4FF4-A3A4-869335729276}">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t>
        </r>
        <r>
          <rPr>
            <b/>
            <sz val="9"/>
            <color indexed="81"/>
            <rFont val="Tahoma"/>
            <family val="2"/>
          </rPr>
          <t>Campo Diagnóstico Nutricional Integrad</t>
        </r>
        <r>
          <rPr>
            <sz val="9"/>
            <color indexed="81"/>
            <rFont val="Tahoma"/>
            <family val="2"/>
          </rPr>
          <t xml:space="preserve">o, Seleccionar </t>
        </r>
        <r>
          <rPr>
            <b/>
            <sz val="9"/>
            <color indexed="81"/>
            <rFont val="Tahoma"/>
            <family val="2"/>
          </rPr>
          <t>Obeso</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39" authorId="0" shapeId="0" xr:uid="{B1C5E6DE-BE07-4140-8D99-1F5E4AC07727}">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Obeso Severo</t>
        </r>
        <r>
          <rPr>
            <sz val="9"/>
            <color indexed="81"/>
            <rFont val="Tahoma"/>
            <family val="2"/>
          </rPr>
          <t xml:space="preserve">
 Y 
el campo </t>
        </r>
        <r>
          <rPr>
            <b/>
            <sz val="9"/>
            <color indexed="81"/>
            <rFont val="Tahoma"/>
            <family val="2"/>
          </rPr>
          <t>"Fecha Próxima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40" authorId="0" shapeId="0" xr:uid="{8FE51D73-059E-4BEE-A80A-D248FE60C8D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Normal o Eutrofia</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B42" authorId="0" shapeId="0" xr:uid="{2F984D05-E470-449C-AA18-6144C92E6A33}">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Desnutrición Secundaria</t>
        </r>
        <r>
          <rPr>
            <sz val="9"/>
            <color indexed="81"/>
            <rFont val="Tahoma"/>
            <family val="2"/>
          </rPr>
          <t xml:space="preserve">
 Y 
el campo </t>
        </r>
        <r>
          <rPr>
            <b/>
            <sz val="9"/>
            <color indexed="81"/>
            <rFont val="Tahoma"/>
            <family val="2"/>
          </rPr>
          <t>"Fecha Próxima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L45" authorId="0" shapeId="0" xr:uid="{F2D0DD0A-C48F-441D-8A2A-BDC4EDEC5208}">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 se complete en el Formulario Ficha Salud Integral Adolescente (Clap Modificada):</t>
        </r>
        <r>
          <rPr>
            <sz val="9"/>
            <color indexed="81"/>
            <rFont val="Tahoma"/>
            <family val="2"/>
          </rPr>
          <t xml:space="preserve">
1.-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t>
        </r>
        <r>
          <rPr>
            <b/>
            <sz val="9"/>
            <color indexed="81"/>
            <rFont val="Tahoma"/>
            <family val="2"/>
          </rPr>
          <t xml:space="preserve"> 11 meses y 29 días</t>
        </r>
        <r>
          <rPr>
            <sz val="9"/>
            <color indexed="81"/>
            <rFont val="Tahoma"/>
            <family val="2"/>
          </rPr>
          <t xml:space="preserve">, desde la última citación a la fecha de corte.
</t>
        </r>
      </text>
    </comment>
    <comment ref="O45" authorId="0" shapeId="0" xr:uid="{2521EABF-B151-43CD-A9C9-4638E8D21DDC}">
      <text>
        <r>
          <rPr>
            <sz val="9"/>
            <color indexed="81"/>
            <rFont val="Tahoma"/>
            <family val="2"/>
          </rPr>
          <t>Se contabilizarán a los pacientes que tengan en</t>
        </r>
        <r>
          <rPr>
            <b/>
            <sz val="9"/>
            <color indexed="81"/>
            <rFont val="Tahoma"/>
            <family val="2"/>
          </rPr>
          <t xml:space="preserve">  Antecedentes del usuario APS / Pestaña "Identificacion"  Item  Alertas Adm.  "MIGRANTE"
</t>
        </r>
        <r>
          <rPr>
            <sz val="9"/>
            <color indexed="81"/>
            <rFont val="Tahoma"/>
            <family val="2"/>
          </rPr>
          <t xml:space="preserve"> y Cumplan con registro de Ficha CLAP modificada realizado. </t>
        </r>
      </text>
    </comment>
    <comment ref="A49" authorId="0" shapeId="0" xr:uid="{0F234301-3CE5-47AF-9CDC-0563E731E954}">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¿Estudia?</t>
        </r>
        <r>
          <rPr>
            <sz val="9"/>
            <color indexed="81"/>
            <rFont val="Tahoma"/>
            <family val="2"/>
          </rPr>
          <t xml:space="preserve"> el valor</t>
        </r>
        <r>
          <rPr>
            <b/>
            <sz val="9"/>
            <color indexed="81"/>
            <rFont val="Tahoma"/>
            <family val="2"/>
          </rPr>
          <t xml:space="preserve"> 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50" authorId="0" shapeId="0" xr:uid="{82BEE02B-AC80-47A9-86C8-408465F40CB3}">
      <text>
        <r>
          <rPr>
            <b/>
            <sz val="9"/>
            <color indexed="81"/>
            <rFont val="Tahoma"/>
            <family val="2"/>
          </rPr>
          <t xml:space="preserve">
</t>
        </r>
        <r>
          <rPr>
            <sz val="9"/>
            <color indexed="81"/>
            <rFont val="Tahoma"/>
            <family val="2"/>
          </rPr>
          <t>Este dato aparecerá  luego de que en la atención registrada en Modulo Box/ Pacientes Citados o Modulo Box / Agregar Documento a una atencion se complete en el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Desersión o Exclusión</t>
        </r>
        <r>
          <rPr>
            <sz val="9"/>
            <color indexed="81"/>
            <rFont val="Tahoma"/>
            <family val="2"/>
          </rPr>
          <t xml:space="preserve"> el valor </t>
        </r>
        <r>
          <rPr>
            <b/>
            <sz val="9"/>
            <color indexed="81"/>
            <rFont val="Tahoma"/>
            <family val="2"/>
          </rPr>
          <t>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51" authorId="0" shapeId="0" xr:uid="{9E1F4F8A-654F-408D-8388-47CE98291CE8}">
      <text>
        <r>
          <rPr>
            <sz val="9"/>
            <color indexed="81"/>
            <rFont val="Tahoma"/>
            <family val="2"/>
          </rPr>
          <t xml:space="preserve">
Este dato aparecerá  luego de que en la atención registrada en Modulo Box/ Pacientes Citados o Modulo Box / Agregar Documento a una atencion se complete en ell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Trabajo Infantil</t>
        </r>
        <r>
          <rPr>
            <sz val="9"/>
            <color indexed="81"/>
            <rFont val="Tahoma"/>
            <family val="2"/>
          </rPr>
          <t>, el valor</t>
        </r>
        <r>
          <rPr>
            <b/>
            <sz val="9"/>
            <color indexed="81"/>
            <rFont val="Tahoma"/>
            <family val="2"/>
          </rPr>
          <t xml:space="preserve"> 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52" authorId="0" shapeId="0" xr:uid="{EB462960-8F62-4129-814F-2BFBD94013B8}">
      <text>
        <r>
          <rPr>
            <sz val="9"/>
            <color indexed="81"/>
            <rFont val="Tahoma"/>
            <family val="2"/>
          </rPr>
          <t xml:space="preserve">
Este dato aparecerá  luego de que en la atención registrada en Modulo Box/ Pacientes Citados o Modulo Box / Agregar Documento a una atencion se complete en elEn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Trabajo Juvenil</t>
        </r>
        <r>
          <rPr>
            <sz val="9"/>
            <color indexed="81"/>
            <rFont val="Tahoma"/>
            <family val="2"/>
          </rPr>
          <t>, el valor</t>
        </r>
        <r>
          <rPr>
            <b/>
            <sz val="9"/>
            <color indexed="81"/>
            <rFont val="Tahoma"/>
            <family val="2"/>
          </rPr>
          <t xml:space="preserve"> 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53" authorId="0" shapeId="0" xr:uid="{6756C9DD-7CD6-48C2-B168-E3AB782A7EEF}">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Peores Formas</t>
        </r>
        <r>
          <rPr>
            <sz val="9"/>
            <color indexed="81"/>
            <rFont val="Tahoma"/>
            <family val="2"/>
          </rPr>
          <t xml:space="preserve"> el valor </t>
        </r>
        <r>
          <rPr>
            <b/>
            <sz val="9"/>
            <color indexed="81"/>
            <rFont val="Tahoma"/>
            <family val="2"/>
          </rPr>
          <t>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54" authorId="0" shapeId="0" xr:uid="{92E6869D-7952-4453-A503-6E1EB74A0B8C}">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Servicio Doméstico No Remunerado Peligroso</t>
        </r>
        <r>
          <rPr>
            <sz val="9"/>
            <color indexed="81"/>
            <rFont val="Tahoma"/>
            <family val="2"/>
          </rPr>
          <t xml:space="preserve"> indicar el valor </t>
        </r>
        <r>
          <rPr>
            <b/>
            <sz val="9"/>
            <color indexed="81"/>
            <rFont val="Tahoma"/>
            <family val="2"/>
          </rPr>
          <t>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L56" authorId="0" shapeId="0" xr:uid="{29A0189D-6271-4212-AD22-B352FFDB0C9A}">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 </t>
        </r>
        <r>
          <rPr>
            <b/>
            <sz val="9"/>
            <color indexed="81"/>
            <rFont val="Tahoma"/>
            <family val="2"/>
          </rPr>
          <t>Formulario Ficha Salud Integral Adolescente (Clap Modificada):</t>
        </r>
        <r>
          <rPr>
            <sz val="9"/>
            <color indexed="81"/>
            <rFont val="Tahoma"/>
            <family val="2"/>
          </rPr>
          <t xml:space="preserve">
1.- En el Campo</t>
        </r>
        <r>
          <rPr>
            <b/>
            <sz val="9"/>
            <color indexed="81"/>
            <rFont val="Tahoma"/>
            <family val="2"/>
          </rPr>
          <t xml:space="preserve"> ¿Pueblo Indigena? </t>
        </r>
        <r>
          <rPr>
            <sz val="9"/>
            <color indexed="81"/>
            <rFont val="Tahoma"/>
            <family val="2"/>
          </rPr>
          <t xml:space="preserve">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t>
        </r>
        <r>
          <rPr>
            <b/>
            <sz val="9"/>
            <color indexed="81"/>
            <rFont val="Tahoma"/>
            <family val="2"/>
          </rPr>
          <t xml:space="preserve"> ¿Cual Pueblo Indigena?</t>
        </r>
        <r>
          <rPr>
            <sz val="9"/>
            <color indexed="81"/>
            <rFont val="Tahoma"/>
            <family val="2"/>
          </rPr>
          <t xml:space="preserve"> 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 xml:space="preserve">"Fecha Proxima Visita" </t>
        </r>
        <r>
          <rPr>
            <sz val="9"/>
            <color indexed="81"/>
            <rFont val="Tahoma"/>
            <family val="2"/>
          </rPr>
          <t xml:space="preserve">sea con un plazo máximo de inasistencia de 11 meses y 29 días, desde la última citación a la fecha de corte.
</t>
        </r>
      </text>
    </comment>
    <comment ref="O56" authorId="0" shapeId="0" xr:uid="{2605715E-ADE6-4B40-ABE5-151FA819AACA}">
      <text>
        <r>
          <rPr>
            <sz val="9"/>
            <color indexed="81"/>
            <rFont val="Tahoma"/>
            <family val="2"/>
          </rPr>
          <t xml:space="preserve">Se contabilizarán a los pacientes que tengan en  </t>
        </r>
        <r>
          <rPr>
            <b/>
            <sz val="9"/>
            <color indexed="81"/>
            <rFont val="Tahoma"/>
            <family val="2"/>
          </rPr>
          <t xml:space="preserve">Antecedentes del usuario APS / Pestaña "Identificacion"  Item  Alertas Adm.  "MIGRANTE"
 y Cumplan con registro de Ficha CLAP modificada realizado. </t>
        </r>
      </text>
    </comment>
    <comment ref="A58" authorId="0" shapeId="0" xr:uid="{6FEBEAB3-8844-44E6-960F-46C8B7E2234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Otros. Cualquier Item en Detección de Riesgo evalúe RIESGO</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 </t>
        </r>
        <r>
          <rPr>
            <b/>
            <sz val="9"/>
            <color indexed="81"/>
            <rFont val="Tahoma"/>
            <family val="2"/>
          </rPr>
          <t>SSR</t>
        </r>
        <r>
          <rPr>
            <sz val="9"/>
            <color indexed="81"/>
            <rFont val="Tahoma"/>
            <family val="2"/>
          </rPr>
          <t xml:space="preserve">
</t>
        </r>
        <r>
          <rPr>
            <b/>
            <sz val="9"/>
            <color indexed="81"/>
            <rFont val="Tahoma"/>
            <family val="2"/>
          </rPr>
          <t>Y</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A59" authorId="0" shapeId="0" xr:uid="{04AEED9F-E136-4840-BC70-33A400F34EC9}">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 </t>
        </r>
        <r>
          <rPr>
            <b/>
            <sz val="9"/>
            <color indexed="81"/>
            <rFont val="Tahoma"/>
            <family val="2"/>
          </rPr>
          <t>Suicida</t>
        </r>
        <r>
          <rPr>
            <sz val="9"/>
            <color indexed="81"/>
            <rFont val="Tahoma"/>
            <family val="2"/>
          </rPr>
          <t xml:space="preserve">
</t>
        </r>
        <r>
          <rPr>
            <b/>
            <sz val="9"/>
            <color indexed="81"/>
            <rFont val="Tahoma"/>
            <family val="2"/>
          </rPr>
          <t>Y</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60" authorId="0" shapeId="0" xr:uid="{914F3837-17C2-4335-A5B0-9E25A1E06D87}">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Otros. Cualquier Item en Detección de Riesgo evalúe RIESGO.</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t>
        </r>
        <r>
          <rPr>
            <b/>
            <sz val="9"/>
            <color indexed="81"/>
            <rFont val="Tahoma"/>
            <family val="2"/>
          </rPr>
          <t>- Social</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61" authorId="0" shapeId="0" xr:uid="{6C6F6F20-B8EA-4299-98B4-EED543804752}">
      <text>
        <r>
          <rPr>
            <sz val="9"/>
            <color indexed="81"/>
            <rFont val="Tahoma"/>
            <family val="2"/>
          </rPr>
          <t xml:space="preserve">
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 En la seccion:
</t>
        </r>
        <r>
          <rPr>
            <b/>
            <sz val="9"/>
            <color indexed="81"/>
            <rFont val="Tahoma"/>
            <family val="2"/>
          </rPr>
          <t>Otros. Cualquier Item en Detección de Riesgo evalúe RIESGO.</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t>
        </r>
        <r>
          <rPr>
            <b/>
            <sz val="9"/>
            <color indexed="81"/>
            <rFont val="Tahoma"/>
            <family val="2"/>
          </rPr>
          <t>- Psicoemocional</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62" authorId="0" shapeId="0" xr:uid="{16572804-E53B-4CF7-B1AA-C8240BD9EE4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t>
        </r>
        <r>
          <rPr>
            <b/>
            <sz val="9"/>
            <color indexed="81"/>
            <rFont val="Tahoma"/>
            <family val="2"/>
          </rPr>
          <t xml:space="preserve">- Violencia </t>
        </r>
        <r>
          <rPr>
            <sz val="9"/>
            <color indexed="81"/>
            <rFont val="Tahoma"/>
            <family val="2"/>
          </rPr>
          <t xml:space="preserve">
</t>
        </r>
        <r>
          <rPr>
            <b/>
            <sz val="9"/>
            <color indexed="81"/>
            <rFont val="Tahoma"/>
            <family val="2"/>
          </rPr>
          <t xml:space="preserve">Y </t>
        </r>
        <r>
          <rPr>
            <sz val="9"/>
            <color indexed="81"/>
            <rFont val="Tahoma"/>
            <family val="2"/>
          </rPr>
          <t xml:space="preserve">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text>
    </comment>
    <comment ref="A63" authorId="0" shapeId="0" xr:uid="{4C83E7A2-A0F2-4386-8988-FFEEB07F627A}">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Otros. Cualquier Item en Detección de Riesgo evalúe RIESGO</t>
        </r>
        <r>
          <rPr>
            <sz val="9"/>
            <color indexed="81"/>
            <rFont val="Tahoma"/>
            <family val="2"/>
          </rPr>
          <t xml:space="preserve">. 
Se marque en el campo </t>
        </r>
        <r>
          <rPr>
            <b/>
            <sz val="9"/>
            <color indexed="81"/>
            <rFont val="Tahoma"/>
            <family val="2"/>
          </rPr>
          <t>Detección de Riesgo</t>
        </r>
        <r>
          <rPr>
            <sz val="9"/>
            <color indexed="81"/>
            <rFont val="Tahoma"/>
            <family val="2"/>
          </rPr>
          <t>,  la opcion:
-</t>
        </r>
        <r>
          <rPr>
            <b/>
            <sz val="9"/>
            <color indexed="81"/>
            <rFont val="Tahoma"/>
            <family val="2"/>
          </rPr>
          <t xml:space="preserve"> Alcohol y otras drogas
</t>
        </r>
        <r>
          <rPr>
            <sz val="9"/>
            <color indexed="81"/>
            <rFont val="Tahoma"/>
            <family val="2"/>
          </rPr>
          <t xml:space="preserve">
</t>
        </r>
        <r>
          <rPr>
            <b/>
            <sz val="9"/>
            <color indexed="81"/>
            <rFont val="Tahoma"/>
            <family val="2"/>
          </rPr>
          <t xml:space="preserve">Y </t>
        </r>
        <r>
          <rPr>
            <sz val="9"/>
            <color indexed="81"/>
            <rFont val="Tahoma"/>
            <family val="2"/>
          </rPr>
          <t xml:space="preserve">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A64" authorId="0" shapeId="0" xr:uid="{25B7F7CC-8A80-48F0-90F3-26789EE1A742}">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
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 </t>
        </r>
        <r>
          <rPr>
            <b/>
            <sz val="9"/>
            <color indexed="81"/>
            <rFont val="Tahoma"/>
            <family val="2"/>
          </rPr>
          <t>Malnutrición déficit</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A65" authorId="0" shapeId="0" xr:uid="{E49DF79C-4FE5-4B8B-95FA-3AC79A69F92B}">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 </t>
        </r>
        <r>
          <rPr>
            <b/>
            <sz val="9"/>
            <color indexed="81"/>
            <rFont val="Tahoma"/>
            <family val="2"/>
          </rPr>
          <t>Malnutrición exceso</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A66" authorId="0" shapeId="0" xr:uid="{503A9DCE-4058-4F6A-8DD4-04914FCA9D71}">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 </t>
        </r>
        <r>
          <rPr>
            <b/>
            <sz val="9"/>
            <color indexed="81"/>
            <rFont val="Tahoma"/>
            <family val="2"/>
          </rPr>
          <t xml:space="preserve">Deserción escolar </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A67" authorId="0" shapeId="0" xr:uid="{C33F5FAC-440F-4950-A76F-8836A6ED3C6C}">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la seccion:
</t>
        </r>
        <r>
          <rPr>
            <b/>
            <sz val="9"/>
            <color indexed="81"/>
            <rFont val="Tahoma"/>
            <family val="2"/>
          </rPr>
          <t xml:space="preserve">Otros. Cualquier Item en Detección de Riesgo evalúe RIESGO. </t>
        </r>
        <r>
          <rPr>
            <sz val="9"/>
            <color indexed="81"/>
            <rFont val="Tahoma"/>
            <family val="2"/>
          </rPr>
          <t xml:space="preserve">
Se marque en el campo </t>
        </r>
        <r>
          <rPr>
            <b/>
            <sz val="9"/>
            <color indexed="81"/>
            <rFont val="Tahoma"/>
            <family val="2"/>
          </rPr>
          <t>Detección de Riesgo</t>
        </r>
        <r>
          <rPr>
            <sz val="9"/>
            <color indexed="81"/>
            <rFont val="Tahoma"/>
            <family val="2"/>
          </rPr>
          <t xml:space="preserve">,  la opcion:
</t>
        </r>
        <r>
          <rPr>
            <b/>
            <sz val="9"/>
            <color indexed="81"/>
            <rFont val="Tahoma"/>
            <family val="2"/>
          </rPr>
          <t xml:space="preserve">
- Otro</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L69" authorId="0" shapeId="0" xr:uid="{54109D6A-F23D-45DB-BB09-FEBB0EAE2E14}">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 </t>
        </r>
        <r>
          <rPr>
            <b/>
            <sz val="9"/>
            <color indexed="81"/>
            <rFont val="Tahoma"/>
            <family val="2"/>
          </rPr>
          <t>Formulario Ficha Salud Integral Adolescente (Clap Modificada):</t>
        </r>
        <r>
          <rPr>
            <sz val="9"/>
            <color indexed="81"/>
            <rFont val="Tahoma"/>
            <family val="2"/>
          </rPr>
          <t xml:space="preserve">
1.-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t>
        </r>
        <r>
          <rPr>
            <b/>
            <sz val="9"/>
            <color indexed="81"/>
            <rFont val="Tahoma"/>
            <family val="2"/>
          </rPr>
          <t xml:space="preserve"> ¿Cual Pueblo Indigena?</t>
        </r>
        <r>
          <rPr>
            <sz val="9"/>
            <color indexed="81"/>
            <rFont val="Tahoma"/>
            <family val="2"/>
          </rPr>
          <t xml:space="preserve"> 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O69" authorId="0" shapeId="0" xr:uid="{7CDBF460-E150-4BF1-A333-4D6E73F5FA56}">
      <text>
        <r>
          <rPr>
            <sz val="9"/>
            <color indexed="81"/>
            <rFont val="Tahoma"/>
            <family val="2"/>
          </rPr>
          <t xml:space="preserve">Se contabilizarán a los pacientes que tengan en  </t>
        </r>
        <r>
          <rPr>
            <b/>
            <sz val="9"/>
            <color indexed="81"/>
            <rFont val="Tahoma"/>
            <family val="2"/>
          </rPr>
          <t>Antecedentes del usuario APS / Pestaña "Identificacion"</t>
        </r>
        <r>
          <rPr>
            <sz val="9"/>
            <color indexed="81"/>
            <rFont val="Tahoma"/>
            <family val="2"/>
          </rPr>
          <t xml:space="preserve">  Item </t>
        </r>
        <r>
          <rPr>
            <b/>
            <sz val="9"/>
            <color indexed="81"/>
            <rFont val="Tahoma"/>
            <family val="2"/>
          </rPr>
          <t xml:space="preserve"> Alertas Adm.  "MIGRANTE"</t>
        </r>
        <r>
          <rPr>
            <sz val="9"/>
            <color indexed="81"/>
            <rFont val="Tahoma"/>
            <family val="2"/>
          </rPr>
          <t xml:space="preserve">
 y </t>
        </r>
        <r>
          <rPr>
            <b/>
            <sz val="9"/>
            <color indexed="81"/>
            <rFont val="Tahoma"/>
            <family val="2"/>
          </rPr>
          <t xml:space="preserve">Cumplan con registro de Ficha CLAP modificada realizado. </t>
        </r>
      </text>
    </comment>
    <comment ref="A71" authorId="0" shapeId="0" xr:uid="{C0296EB8-8592-449D-BD9C-E9F458D8160B}">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 xml:space="preserve">Intención o conducta Sexual: Postergadora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r>
          <rPr>
            <b/>
            <sz val="9"/>
            <color indexed="81"/>
            <rFont val="Tahoma"/>
            <family val="2"/>
          </rPr>
          <t xml:space="preserve">
</t>
        </r>
      </text>
    </comment>
    <comment ref="A72" authorId="0" shapeId="0" xr:uid="{097D0987-BAE9-4220-8FCB-0DB3B94F36C6}">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debe indicar:
- En el Campo</t>
        </r>
        <r>
          <rPr>
            <b/>
            <sz val="9"/>
            <color indexed="81"/>
            <rFont val="Tahoma"/>
            <family val="2"/>
          </rPr>
          <t xml:space="preserve"> Intención o conducta Sexual</t>
        </r>
        <r>
          <rPr>
            <sz val="9"/>
            <color indexed="81"/>
            <rFont val="Tahoma"/>
            <family val="2"/>
          </rPr>
          <t xml:space="preserve">: </t>
        </r>
        <r>
          <rPr>
            <b/>
            <sz val="9"/>
            <color indexed="81"/>
            <rFont val="Tahoma"/>
            <family val="2"/>
          </rPr>
          <t xml:space="preserve">Anticipada </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text>
    </comment>
    <comment ref="A73" authorId="0" shapeId="0" xr:uid="{DBC0DDEA-0976-4133-8060-E9096BEB6986}">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Intención o conducta Sexual: Activa</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74" authorId="0" shapeId="0" xr:uid="{78A838AA-C4E9-4CF1-905E-D21D9DD66BDE}">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 En el Campo</t>
        </r>
        <r>
          <rPr>
            <b/>
            <sz val="9"/>
            <color indexed="81"/>
            <rFont val="Tahoma"/>
            <family val="2"/>
          </rPr>
          <t xml:space="preserve"> Uso MAC actual </t>
        </r>
        <r>
          <rPr>
            <sz val="9"/>
            <color indexed="81"/>
            <rFont val="Tahoma"/>
            <family val="2"/>
          </rPr>
          <t>tenga valor</t>
        </r>
        <r>
          <rPr>
            <b/>
            <sz val="9"/>
            <color indexed="81"/>
            <rFont val="Tahoma"/>
            <family val="2"/>
          </rPr>
          <t xml:space="preserve"> Si ó A veces</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75" authorId="0" shapeId="0" xr:uid="{5AE08E23-CB8F-422F-9F43-A8FA82073D78}">
      <text>
        <r>
          <rPr>
            <b/>
            <sz val="9"/>
            <color indexed="81"/>
            <rFont val="Tahoma"/>
            <family val="2"/>
          </rPr>
          <t xml:space="preserve">
</t>
        </r>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Doble Protección</t>
        </r>
        <r>
          <rPr>
            <sz val="9"/>
            <color indexed="81"/>
            <rFont val="Tahoma"/>
            <family val="2"/>
          </rPr>
          <t xml:space="preserve"> el valor </t>
        </r>
        <r>
          <rPr>
            <b/>
            <sz val="9"/>
            <color indexed="81"/>
            <rFont val="Tahoma"/>
            <family val="2"/>
          </rPr>
          <t xml:space="preserve">Si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76" authorId="0" shapeId="0" xr:uid="{9DA72A70-CC82-464D-92D8-A7F6CAA8F483}">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N° de embarazos</t>
        </r>
        <r>
          <rPr>
            <sz val="9"/>
            <color indexed="81"/>
            <rFont val="Tahoma"/>
            <family val="2"/>
          </rPr>
          <t xml:space="preserve"> con valor</t>
        </r>
        <r>
          <rPr>
            <b/>
            <sz val="9"/>
            <color indexed="81"/>
            <rFont val="Tahoma"/>
            <family val="2"/>
          </rPr>
          <t xml:space="preserve"> 1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77" authorId="0" shapeId="0" xr:uid="{2A6661BD-6397-4743-A164-FDCAF2E7F032}">
      <text>
        <r>
          <rPr>
            <sz val="9"/>
            <color indexed="81"/>
            <rFont val="Tahoma"/>
            <family val="2"/>
          </rPr>
          <t xml:space="preserve">
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 En el </t>
        </r>
        <r>
          <rPr>
            <b/>
            <sz val="9"/>
            <color indexed="81"/>
            <rFont val="Tahoma"/>
            <family val="2"/>
          </rPr>
          <t>Campo N° de embarazos</t>
        </r>
        <r>
          <rPr>
            <sz val="9"/>
            <color indexed="81"/>
            <rFont val="Tahoma"/>
            <family val="2"/>
          </rPr>
          <t xml:space="preserve"> con valor </t>
        </r>
        <r>
          <rPr>
            <b/>
            <sz val="9"/>
            <color indexed="81"/>
            <rFont val="Tahoma"/>
            <family val="2"/>
          </rPr>
          <t xml:space="preserve">2 o más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78" authorId="0" shapeId="0" xr:uid="{D96E3EB1-04CC-49F0-8059-185A2635446D}">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N° de Abortos</t>
        </r>
        <r>
          <rPr>
            <sz val="9"/>
            <color indexed="81"/>
            <rFont val="Tahoma"/>
            <family val="2"/>
          </rPr>
          <t xml:space="preserve"> con valor </t>
        </r>
        <r>
          <rPr>
            <b/>
            <sz val="9"/>
            <color indexed="81"/>
            <rFont val="Tahoma"/>
            <family val="2"/>
          </rPr>
          <t xml:space="preserve">2 o más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L80" authorId="0" shapeId="0" xr:uid="{19FCEE6C-40E9-44CF-90A7-2B2FF6FAEE55}">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 se complete en el Formulario Ficha Salud Integral Adolescente (Clap Modificada):</t>
        </r>
        <r>
          <rPr>
            <sz val="9"/>
            <color indexed="81"/>
            <rFont val="Tahoma"/>
            <family val="2"/>
          </rPr>
          <t xml:space="preserve">
1.-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2.-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O80" authorId="0" shapeId="0" xr:uid="{8095DCF9-151A-4AA7-9901-68824F8D5DD8}">
      <text>
        <r>
          <rPr>
            <sz val="9"/>
            <color indexed="81"/>
            <rFont val="Tahoma"/>
            <family val="2"/>
          </rPr>
          <t>Se contabilizarán a los pacientes que tengan en</t>
        </r>
        <r>
          <rPr>
            <b/>
            <sz val="9"/>
            <color indexed="81"/>
            <rFont val="Tahoma"/>
            <family val="2"/>
          </rPr>
          <t xml:space="preserve">  Antecedentes del usuario APS / Pestaña "Identificacion"  Item  Alertas Adm.  "MIGRANTE"
</t>
        </r>
        <r>
          <rPr>
            <sz val="9"/>
            <color indexed="81"/>
            <rFont val="Tahoma"/>
            <family val="2"/>
          </rPr>
          <t xml:space="preserve"> y Cumplan con registro de Ficha CLAP modificada realizado. </t>
        </r>
      </text>
    </comment>
    <comment ref="A82" authorId="0" shapeId="0" xr:uid="{9E8155A7-BE3A-42D9-B9B8-B3AFE2E7CF0D}">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Violencia Intrafamiliar</t>
        </r>
        <r>
          <rPr>
            <sz val="9"/>
            <color indexed="81"/>
            <rFont val="Tahoma"/>
            <family val="2"/>
          </rPr>
          <t xml:space="preserve"> con valor </t>
        </r>
        <r>
          <rPr>
            <b/>
            <sz val="9"/>
            <color indexed="81"/>
            <rFont val="Tahoma"/>
            <family val="2"/>
          </rPr>
          <t>Si</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A83" authorId="0" shapeId="0" xr:uid="{732FC59D-70C0-42E9-8CC1-99F6BE6029EB}">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 xml:space="preserve">¿Violencia en la pareja? </t>
        </r>
        <r>
          <rPr>
            <sz val="9"/>
            <color indexed="81"/>
            <rFont val="Tahoma"/>
            <family val="2"/>
          </rPr>
          <t>con valor</t>
        </r>
        <r>
          <rPr>
            <b/>
            <sz val="9"/>
            <color indexed="81"/>
            <rFont val="Tahoma"/>
            <family val="2"/>
          </rPr>
          <t xml:space="preserve"> Si</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t>
        </r>
      </text>
    </comment>
    <comment ref="A84" authorId="0" shapeId="0" xr:uid="{AD765DD7-6C5D-48EF-B797-E16C9E8B6E47}">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Violencia Sexual</t>
        </r>
        <r>
          <rPr>
            <sz val="9"/>
            <color indexed="81"/>
            <rFont val="Tahoma"/>
            <family val="2"/>
          </rPr>
          <t xml:space="preserve"> con valor </t>
        </r>
        <r>
          <rPr>
            <b/>
            <sz val="9"/>
            <color indexed="81"/>
            <rFont val="Tahoma"/>
            <family val="2"/>
          </rPr>
          <t>Si</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text>
    </comment>
    <comment ref="A85" authorId="0" shapeId="0" xr:uid="{21643A98-5D4C-48B6-BFD1-1ED859BC760C}">
      <text>
        <r>
          <rPr>
            <b/>
            <sz val="9"/>
            <color indexed="81"/>
            <rFont val="Tahoma"/>
            <family val="2"/>
          </rPr>
          <t xml:space="preserve">
</t>
        </r>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 xml:space="preserve">Violencia Escolar o Bullyng </t>
        </r>
        <r>
          <rPr>
            <sz val="9"/>
            <color indexed="81"/>
            <rFont val="Tahoma"/>
            <family val="2"/>
          </rPr>
          <t xml:space="preserve">con valor </t>
        </r>
        <r>
          <rPr>
            <b/>
            <sz val="9"/>
            <color indexed="81"/>
            <rFont val="Tahoma"/>
            <family val="2"/>
          </rPr>
          <t>Si</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desde la última citación a la fecha de corte.</t>
        </r>
      </text>
    </comment>
    <comment ref="A86" authorId="0" shapeId="0" xr:uid="{79F823BA-3DD0-4A67-AA9D-E99FC99E6A98}">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 xml:space="preserve">Violencia Virtual </t>
        </r>
        <r>
          <rPr>
            <sz val="9"/>
            <color indexed="81"/>
            <rFont val="Tahoma"/>
            <family val="2"/>
          </rPr>
          <t xml:space="preserve">con valor </t>
        </r>
        <r>
          <rPr>
            <b/>
            <sz val="9"/>
            <color indexed="81"/>
            <rFont val="Tahoma"/>
            <family val="2"/>
          </rPr>
          <t>Si</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text>
    </comment>
    <comment ref="F88" authorId="0" shapeId="0" xr:uid="{4138CE0D-4287-49A8-A549-846E815B67F8}">
      <text>
        <r>
          <rPr>
            <sz val="9"/>
            <color indexed="81"/>
            <rFont val="Tahoma"/>
            <family val="2"/>
          </rPr>
          <t xml:space="preserve">
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t>
        </r>
        <r>
          <rPr>
            <b/>
            <sz val="9"/>
            <color indexed="81"/>
            <rFont val="Tahoma"/>
            <family val="2"/>
          </rPr>
          <t xml:space="preserve"> Formulario Ficha Salud Integral Adolescente (Clap Modificada):</t>
        </r>
        <r>
          <rPr>
            <sz val="9"/>
            <color indexed="81"/>
            <rFont val="Tahoma"/>
            <family val="2"/>
          </rPr>
          <t xml:space="preserve">
1.- En el Campo</t>
        </r>
        <r>
          <rPr>
            <b/>
            <sz val="9"/>
            <color indexed="81"/>
            <rFont val="Tahoma"/>
            <family val="2"/>
          </rPr>
          <t xml:space="preserve"> ¿Pueblo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 xml:space="preserve">Y </t>
        </r>
        <r>
          <rPr>
            <sz val="9"/>
            <color indexed="81"/>
            <rFont val="Tahoma"/>
            <family val="2"/>
          </rPr>
          <t xml:space="preserve">
2.-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 xml:space="preserve"> Y </t>
        </r>
        <r>
          <rPr>
            <sz val="9"/>
            <color indexed="81"/>
            <rFont val="Tahoma"/>
            <family val="2"/>
          </rPr>
          <t xml:space="preserve">
En el campo</t>
        </r>
        <r>
          <rPr>
            <b/>
            <sz val="9"/>
            <color indexed="81"/>
            <rFont val="Tahoma"/>
            <family val="2"/>
          </rPr>
          <t xml:space="preserve"> "Fecha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I88" authorId="0" shapeId="0" xr:uid="{6115EBEA-EE8E-4542-A35B-48659954D4D3}">
      <text>
        <r>
          <rPr>
            <sz val="9"/>
            <color indexed="81"/>
            <rFont val="Tahoma"/>
            <family val="2"/>
          </rPr>
          <t xml:space="preserve">Se contabilizarán a los pacientes que tengan en  Antecedentes del usuario </t>
        </r>
        <r>
          <rPr>
            <b/>
            <sz val="9"/>
            <color indexed="81"/>
            <rFont val="Tahoma"/>
            <family val="2"/>
          </rPr>
          <t>APS / Pestaña "Identificacion"  Item  Alertas Adm.  "MIGRANTE"</t>
        </r>
        <r>
          <rPr>
            <sz val="9"/>
            <color indexed="81"/>
            <rFont val="Tahoma"/>
            <family val="2"/>
          </rPr>
          <t xml:space="preserve">
 y Cumplan con registro de Ficha CLAP modificada realizado. </t>
        </r>
      </text>
    </comment>
    <comment ref="L88" authorId="0" shapeId="0" xr:uid="{E30D7724-9076-4EE4-A081-548A2C622149}">
      <text>
        <r>
          <rPr>
            <sz val="9"/>
            <color indexed="81"/>
            <rFont val="Tahoma"/>
            <family val="2"/>
          </rPr>
          <t xml:space="preserve">Este dato aparecerá luego de registrar:
En Modulo Box/Pacientes citados o Modulo Atención/ Registro de atención Individual, la actividad: </t>
        </r>
        <r>
          <rPr>
            <b/>
            <sz val="9"/>
            <color indexed="81"/>
            <rFont val="Tahoma"/>
            <family val="2"/>
          </rPr>
          <t xml:space="preserve">
- Consejerías Individuales Actividad Física- En Espacios Amigables.
- Consejerías individuales Alimentación Saludable -En Espacios Amigables.
- Consejerías individuales Tabaquismo- En Espacios Amigables.
- Consejerías individuales Consumo de Drogas - En Espacios Amigables.
- Consejerías Individuales Salud Sexual - En Espacios Amigables.
- Consejerías Individuales Regulacion de Fecundidad - En Espacios Amigables.
-  Consejerías Individuales Prevención VIH e Infección de Transmisión Sexual (ITS)- En Espacios Amigables.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0" authorId="0" shapeId="0" xr:uid="{5B328436-3C1C-46C1-BAE7-16E397A4DD1A}">
      <text>
        <r>
          <rPr>
            <sz val="9"/>
            <color indexed="81"/>
            <rFont val="Tahoma"/>
            <family val="2"/>
          </rPr>
          <t xml:space="preserve">Este dato aparecerá luego de registrar:
En Modulo Box/Pacientes citados o Modulo Atención/ Registro de atención Individual, la actividad: </t>
        </r>
        <r>
          <rPr>
            <b/>
            <sz val="9"/>
            <color indexed="81"/>
            <rFont val="Tahoma"/>
            <family val="2"/>
          </rPr>
          <t>Consejerías Individuales, Actividad Física.</t>
        </r>
        <r>
          <rPr>
            <sz val="9"/>
            <color indexed="81"/>
            <rFont val="Tahoma"/>
            <family val="2"/>
          </rPr>
          <t xml:space="preserve">
ó
En Modulo Box/ Registro de Atención Grupal, la actividad: </t>
        </r>
        <r>
          <rPr>
            <b/>
            <sz val="9"/>
            <color indexed="81"/>
            <rFont val="Tahoma"/>
            <family val="2"/>
          </rPr>
          <t>Consejería Actividad Física</t>
        </r>
        <r>
          <rPr>
            <sz val="9"/>
            <color indexed="81"/>
            <rFont val="Tahoma"/>
            <family val="2"/>
          </rPr>
          <t xml:space="preserve">
* Contabilizará </t>
        </r>
        <r>
          <rPr>
            <b/>
            <sz val="9"/>
            <color indexed="81"/>
            <rFont val="Tahoma"/>
            <family val="2"/>
          </rPr>
          <t>pacientes que tengan registro de Formulario Ficha Salud Integral Adolescente (CLAP Modificada)</t>
        </r>
        <r>
          <rPr>
            <sz val="9"/>
            <color indexed="81"/>
            <rFont val="Tahoma"/>
            <family val="2"/>
          </rPr>
          <t xml:space="preserve"> y el campo </t>
        </r>
        <r>
          <rPr>
            <b/>
            <sz val="9"/>
            <color indexed="81"/>
            <rFont val="Tahoma"/>
            <family val="2"/>
          </rPr>
          <t>"Fecha Próxima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A92" authorId="0" shapeId="0" xr:uid="{DE9851CE-B8ED-41FB-9AC5-4BDB0B211E4B}">
      <text>
        <r>
          <rPr>
            <sz val="9"/>
            <color indexed="81"/>
            <rFont val="Tahoma"/>
            <family val="2"/>
          </rPr>
          <t xml:space="preserve">Este dato aparecerá luego de registrar:
En </t>
        </r>
        <r>
          <rPr>
            <b/>
            <sz val="9"/>
            <color indexed="81"/>
            <rFont val="Tahoma"/>
            <family val="2"/>
          </rPr>
          <t>Modulo Box/ Pacientes Citados o Modulo Atención/ Registro de atención individual</t>
        </r>
        <r>
          <rPr>
            <sz val="9"/>
            <color indexed="81"/>
            <rFont val="Tahoma"/>
            <family val="2"/>
          </rPr>
          <t xml:space="preserve"> la actividad: </t>
        </r>
        <r>
          <rPr>
            <b/>
            <sz val="9"/>
            <color indexed="81"/>
            <rFont val="Tahoma"/>
            <family val="2"/>
          </rPr>
          <t>Consejerías individuales Alimentación Saludable.</t>
        </r>
        <r>
          <rPr>
            <sz val="9"/>
            <color indexed="81"/>
            <rFont val="Tahoma"/>
            <family val="2"/>
          </rPr>
          <t xml:space="preserve">
ó
En</t>
        </r>
        <r>
          <rPr>
            <b/>
            <sz val="9"/>
            <color indexed="81"/>
            <rFont val="Tahoma"/>
            <family val="2"/>
          </rPr>
          <t xml:space="preserve"> Modulo Atención /Registro de Atención Grupal</t>
        </r>
        <r>
          <rPr>
            <sz val="9"/>
            <color indexed="81"/>
            <rFont val="Tahoma"/>
            <family val="2"/>
          </rPr>
          <t xml:space="preserve">, agregar la actividad: </t>
        </r>
        <r>
          <rPr>
            <b/>
            <sz val="9"/>
            <color indexed="81"/>
            <rFont val="Tahoma"/>
            <family val="2"/>
          </rPr>
          <t>Consejería Alimentación Saludable</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4" authorId="0" shapeId="0" xr:uid="{CCF753CA-163F-43BF-B6B6-F86258891D45}">
      <text>
        <r>
          <rPr>
            <sz val="9"/>
            <color indexed="81"/>
            <rFont val="Tahoma"/>
            <family val="2"/>
          </rPr>
          <t xml:space="preserve">Este dato aparecerá, luego de registrar:
En </t>
        </r>
        <r>
          <rPr>
            <b/>
            <sz val="9"/>
            <color indexed="81"/>
            <rFont val="Tahoma"/>
            <family val="2"/>
          </rPr>
          <t xml:space="preserve">Modulo Box/ Pacientes Citados o Modulo Atencion /Registro de atención Individual </t>
        </r>
        <r>
          <rPr>
            <sz val="9"/>
            <color indexed="81"/>
            <rFont val="Tahoma"/>
            <family val="2"/>
          </rPr>
          <t xml:space="preserve">la actividad: </t>
        </r>
        <r>
          <rPr>
            <b/>
            <sz val="9"/>
            <color indexed="81"/>
            <rFont val="Tahoma"/>
            <family val="2"/>
          </rPr>
          <t xml:space="preserve">Consejerías individuales Tabaquismo. </t>
        </r>
        <r>
          <rPr>
            <sz val="9"/>
            <color indexed="81"/>
            <rFont val="Tahoma"/>
            <family val="2"/>
          </rPr>
          <t xml:space="preserve">
ó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Tabaquismo</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6" authorId="0" shapeId="0" xr:uid="{E20C0D87-06EC-428A-85E4-187E65D38985}">
      <text>
        <r>
          <rPr>
            <sz val="9"/>
            <color indexed="81"/>
            <rFont val="Tahoma"/>
            <family val="2"/>
          </rPr>
          <t xml:space="preserve">Este dato aparecerá luego de registrar:
</t>
        </r>
        <r>
          <rPr>
            <b/>
            <sz val="9"/>
            <color indexed="81"/>
            <rFont val="Tahoma"/>
            <family val="2"/>
          </rPr>
          <t xml:space="preserve">
En Modulo Box/ Pacientes Citados o Modulo Atención / Registro de Atención Indivual</t>
        </r>
        <r>
          <rPr>
            <sz val="9"/>
            <color indexed="81"/>
            <rFont val="Tahoma"/>
            <family val="2"/>
          </rPr>
          <t xml:space="preserve"> la actividad:</t>
        </r>
        <r>
          <rPr>
            <b/>
            <sz val="9"/>
            <color indexed="81"/>
            <rFont val="Tahoma"/>
            <family val="2"/>
          </rPr>
          <t xml:space="preserve"> Consejerías individuales Consumo de Drogas </t>
        </r>
        <r>
          <rPr>
            <sz val="9"/>
            <color indexed="81"/>
            <rFont val="Tahoma"/>
            <family val="2"/>
          </rPr>
          <t xml:space="preserve">
ó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Consumo de Drogas</t>
        </r>
        <r>
          <rPr>
            <sz val="9"/>
            <color indexed="81"/>
            <rFont val="Tahoma"/>
            <family val="2"/>
          </rPr>
          <t xml:space="preserve">
</t>
        </r>
        <r>
          <rPr>
            <b/>
            <sz val="9"/>
            <color indexed="81"/>
            <rFont val="Tahoma"/>
            <family val="2"/>
          </rPr>
          <t xml:space="preserve">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8" authorId="0" shapeId="0" xr:uid="{D883DC01-78F2-4D7F-8715-87C89FE22DD9}">
      <text>
        <r>
          <rPr>
            <sz val="9"/>
            <color indexed="81"/>
            <rFont val="Tahoma"/>
            <family val="2"/>
          </rPr>
          <t xml:space="preserve">Este dato aparecerá luego de registrar:
En </t>
        </r>
        <r>
          <rPr>
            <b/>
            <sz val="9"/>
            <color indexed="81"/>
            <rFont val="Tahoma"/>
            <family val="2"/>
          </rPr>
          <t>Modulo Box/ Pacientes Citados o Modulo Atención/Registro de atencion individual</t>
        </r>
        <r>
          <rPr>
            <sz val="9"/>
            <color indexed="81"/>
            <rFont val="Tahoma"/>
            <family val="2"/>
          </rPr>
          <t xml:space="preserve">, la actividad: </t>
        </r>
        <r>
          <rPr>
            <b/>
            <sz val="9"/>
            <color indexed="81"/>
            <rFont val="Tahoma"/>
            <family val="2"/>
          </rPr>
          <t xml:space="preserve">Consejerías Individuales Salud Sexual y Reproductiva </t>
        </r>
        <r>
          <rPr>
            <sz val="9"/>
            <color indexed="81"/>
            <rFont val="Tahoma"/>
            <family val="2"/>
          </rPr>
          <t xml:space="preserve">
ó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Salud Sexual Reproductiva</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100" authorId="0" shapeId="0" xr:uid="{6BEF6DD1-66B9-42F0-B825-A0D003CBBDE7}">
      <text>
        <r>
          <rPr>
            <sz val="9"/>
            <color indexed="81"/>
            <rFont val="Tahoma"/>
            <family val="2"/>
          </rPr>
          <t xml:space="preserve">Este dato aparecerá luego de registrar:
En </t>
        </r>
        <r>
          <rPr>
            <b/>
            <sz val="9"/>
            <color indexed="81"/>
            <rFont val="Tahoma"/>
            <family val="2"/>
          </rPr>
          <t>Modulo Box/ Pacientes Citados o Modulo Atención/ Registro de atención Individual,</t>
        </r>
        <r>
          <rPr>
            <sz val="9"/>
            <color indexed="81"/>
            <rFont val="Tahoma"/>
            <family val="2"/>
          </rPr>
          <t xml:space="preserve"> la actividad: </t>
        </r>
        <r>
          <rPr>
            <b/>
            <sz val="9"/>
            <color indexed="81"/>
            <rFont val="Tahoma"/>
            <family val="2"/>
          </rPr>
          <t xml:space="preserve">Consejerías Individuales Regulación de Fertilidad </t>
        </r>
        <r>
          <rPr>
            <sz val="9"/>
            <color indexed="81"/>
            <rFont val="Tahoma"/>
            <family val="2"/>
          </rPr>
          <t xml:space="preserve">
ó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Regulación de Fecundidad</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102" authorId="0" shapeId="0" xr:uid="{F122A1E2-45BC-4E57-B6B3-C8184BE71288}">
      <text>
        <r>
          <rPr>
            <sz val="9"/>
            <color indexed="81"/>
            <rFont val="Tahoma"/>
            <family val="2"/>
          </rPr>
          <t xml:space="preserve">Este dato aparecera luego de registrar:
En </t>
        </r>
        <r>
          <rPr>
            <b/>
            <sz val="9"/>
            <color indexed="81"/>
            <rFont val="Tahoma"/>
            <family val="2"/>
          </rPr>
          <t>Modulo Box/Pacientes Citados o Modulo Atención Individual</t>
        </r>
        <r>
          <rPr>
            <sz val="9"/>
            <color indexed="81"/>
            <rFont val="Tahoma"/>
            <family val="2"/>
          </rPr>
          <t xml:space="preserve">, agregar la actividad: </t>
        </r>
        <r>
          <rPr>
            <b/>
            <sz val="9"/>
            <color indexed="81"/>
            <rFont val="Tahoma"/>
            <family val="2"/>
          </rPr>
          <t xml:space="preserve">Consejerías Individuales Prevención VIH e Infección de Transmisión Sexual (ITS) </t>
        </r>
        <r>
          <rPr>
            <sz val="9"/>
            <color indexed="81"/>
            <rFont val="Tahoma"/>
            <family val="2"/>
          </rPr>
          <t xml:space="preserve">
ó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Prevención VIH-ITS
* Contabilizará pacientes que tengan registro de Formulario Ficha Salud Integral Adolescente (CLAP Modificada) y el campo "Fecha Proxima Visita" sea con un plazo máximo de inasistencia de 11 meses y 29 días, desde la última citación a la fecha de corte.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Nicole Cisternas</author>
  </authors>
  <commentList>
    <comment ref="A9" authorId="0" shapeId="0" xr:uid="{A6949044-FC9F-4EAC-B0E0-7F893387BB96}">
      <text>
        <r>
          <rPr>
            <b/>
            <sz val="9"/>
            <color indexed="81"/>
            <rFont val="Tahoma"/>
            <family val="2"/>
          </rPr>
          <t xml:space="preserve">REM No Disponible para su contabilizacion </t>
        </r>
        <r>
          <rPr>
            <sz val="9"/>
            <color indexed="81"/>
            <rFont val="Tahoma"/>
            <family val="2"/>
          </rPr>
          <t xml:space="preserve">
</t>
        </r>
      </text>
    </comment>
    <comment ref="A19" authorId="0" shapeId="0" xr:uid="{2BA6F1A3-F04A-43EB-9AB5-5AA9C1F1C57A}">
      <text>
        <r>
          <rPr>
            <b/>
            <sz val="9"/>
            <color indexed="81"/>
            <rFont val="Tahoma"/>
            <family val="2"/>
          </rPr>
          <t>REM No Disponible para su contabillizacion</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Alexis Caceres Zapata</author>
    <author>Nicole Cisternas</author>
    <author>Miguel Angel Rozas Bustamante</author>
    <author>azavala</author>
  </authors>
  <commentList>
    <comment ref="B10" authorId="0" shapeId="0" xr:uid="{3126B122-8AE5-401B-BFA7-0EC49B0351B4}">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En el Formulario Seguimiento Examen PAP/MAMAS, ingresar:
- Fecha Examen PAP 
- Vigencia PAP 
Según grupo de edad a la fecha de corte.
-</t>
        </r>
        <r>
          <rPr>
            <sz val="9"/>
            <color indexed="81"/>
            <rFont val="Tahoma"/>
            <family val="2"/>
          </rPr>
          <t xml:space="preserve"> En modulo de admision el campo sexo:</t>
        </r>
        <r>
          <rPr>
            <b/>
            <sz val="9"/>
            <color indexed="81"/>
            <rFont val="Tahoma"/>
            <family val="2"/>
          </rPr>
          <t xml:space="preserve"> Mujer
Según grupo de edad a la fecha de corte</t>
        </r>
      </text>
    </comment>
    <comment ref="C10" authorId="0" shapeId="0" xr:uid="{52765BE8-D631-415D-A2D2-A3941B4F527D}">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En el Formulario Seguimiento Examen PAP/MAMAS, ingresar:
- Fecha Examen PAP 
- Vigencia PAP 
Según grupo de edad a la fecha de corte.
</t>
        </r>
        <r>
          <rPr>
            <sz val="9"/>
            <color indexed="81"/>
            <rFont val="Tahoma"/>
            <family val="2"/>
          </rPr>
          <t xml:space="preserve">
- En modulo de admision el campo sexo: </t>
        </r>
        <r>
          <rPr>
            <b/>
            <sz val="9"/>
            <color indexed="81"/>
            <rFont val="Tahoma"/>
            <family val="2"/>
          </rPr>
          <t>Hombre
Según grupo de edad a la fecha de corte</t>
        </r>
      </text>
    </comment>
    <comment ref="D10" authorId="1" shapeId="0" xr:uid="{0CE4B0B9-F3B1-4637-8969-1077A06772F7}">
      <text>
        <r>
          <rPr>
            <sz val="9"/>
            <color indexed="81"/>
            <rFont val="Tahoma"/>
            <family val="2"/>
          </rPr>
          <t xml:space="preserve">Se contaran siempre que el paciente tenga ingresado en el campo de sus datos "pueblo indigena" un valor correcto. 
Este dato se puede ingresar en el </t>
        </r>
        <r>
          <rPr>
            <b/>
            <sz val="9"/>
            <color indexed="81"/>
            <rFont val="Tahoma"/>
            <family val="2"/>
          </rPr>
          <t>Modulo de Admision</t>
        </r>
        <r>
          <rPr>
            <sz val="9"/>
            <color indexed="81"/>
            <rFont val="Tahoma"/>
            <family val="2"/>
          </rPr>
          <t xml:space="preserve"> o en </t>
        </r>
        <r>
          <rPr>
            <b/>
            <sz val="9"/>
            <color indexed="81"/>
            <rFont val="Tahoma"/>
            <family val="2"/>
          </rPr>
          <t>Modulo</t>
        </r>
        <r>
          <rPr>
            <sz val="9"/>
            <color indexed="81"/>
            <rFont val="Tahoma"/>
            <family val="2"/>
          </rPr>
          <t xml:space="preserve"> </t>
        </r>
        <r>
          <rPr>
            <b/>
            <sz val="9"/>
            <color indexed="81"/>
            <rFont val="Tahoma"/>
            <family val="2"/>
          </rPr>
          <t xml:space="preserve">Box - Pacientes Citados, </t>
        </r>
        <r>
          <rPr>
            <sz val="9"/>
            <color indexed="81"/>
            <rFont val="Tahoma"/>
            <family val="2"/>
          </rPr>
          <t>con la funcion modificar datos del paciente</t>
        </r>
      </text>
    </comment>
    <comment ref="E10" authorId="1" shapeId="0" xr:uid="{3413914E-639B-43A3-84C4-346F6F5F9E93}">
      <text>
        <r>
          <rPr>
            <sz val="9"/>
            <color indexed="81"/>
            <rFont val="Tahoma"/>
            <family val="2"/>
          </rPr>
          <t>Se contabilizara a los pacientes que tengan en Admisión - usuario "Alerta Administrativa" o Box - Pacientes Citados - "Alertas Administrativas" la alerta de</t>
        </r>
        <r>
          <rPr>
            <b/>
            <sz val="9"/>
            <color indexed="81"/>
            <rFont val="Tahoma"/>
            <family val="2"/>
          </rPr>
          <t xml:space="preserve"> "MIGRANTES"</t>
        </r>
        <r>
          <rPr>
            <sz val="9"/>
            <color indexed="81"/>
            <rFont val="Tahoma"/>
            <family val="2"/>
          </rPr>
          <t xml:space="preserve">
</t>
        </r>
      </text>
    </comment>
    <comment ref="B27" authorId="2" shapeId="0" xr:uid="{0ED5D66B-93E0-4725-8199-759B10B221AD}">
      <text>
        <r>
          <rPr>
            <b/>
            <sz val="9"/>
            <color indexed="81"/>
            <rFont val="Tahoma"/>
            <family val="2"/>
          </rPr>
          <t xml:space="preserve">Este dato aparecerá  luego de que en la atención  registrada en módulo Box, Pacientes Citados o desde Agregar documentos a una atención, el profesional registre lo siguiente: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ingresar:</t>
        </r>
        <r>
          <rPr>
            <b/>
            <sz val="9"/>
            <color indexed="81"/>
            <rFont val="Tahoma"/>
            <family val="2"/>
          </rPr>
          <t xml:space="preserve">
</t>
        </r>
        <r>
          <rPr>
            <sz val="9"/>
            <color indexed="81"/>
            <rFont val="Tahoma"/>
            <family val="2"/>
          </rPr>
          <t xml:space="preserve">
- Fecha Examen VPH 
- Vigencia VPH 
- Resultado VPH</t>
        </r>
        <r>
          <rPr>
            <b/>
            <sz val="9"/>
            <color indexed="81"/>
            <rFont val="Tahoma"/>
            <family val="2"/>
          </rPr>
          <t xml:space="preserve">
y 
- </t>
        </r>
        <r>
          <rPr>
            <sz val="9"/>
            <color indexed="81"/>
            <rFont val="Tahoma"/>
            <family val="2"/>
          </rPr>
          <t>En modulo de admision el campo sexo:</t>
        </r>
        <r>
          <rPr>
            <b/>
            <sz val="9"/>
            <color indexed="81"/>
            <rFont val="Tahoma"/>
            <family val="2"/>
          </rPr>
          <t xml:space="preserve"> Mujer
Según grupo de edad a la fecha de corte
</t>
        </r>
      </text>
    </comment>
    <comment ref="C27" authorId="2" shapeId="0" xr:uid="{9F482ADC-F350-4E25-B260-5DAB62022BC1}">
      <text>
        <r>
          <rPr>
            <sz val="9"/>
            <color indexed="81"/>
            <rFont val="Tahoma"/>
            <family val="2"/>
          </rPr>
          <t xml:space="preserve">Este dato aparecerá  luego de que en la atención  registrada en módulo Box, Pacientes Citados o desde Agregar documentos a una atención, el profesional registre lo siguiente:
</t>
        </r>
        <r>
          <rPr>
            <b/>
            <sz val="9"/>
            <color indexed="81"/>
            <rFont val="Tahoma"/>
            <family val="2"/>
          </rPr>
          <t xml:space="preserve">
</t>
        </r>
        <r>
          <rPr>
            <sz val="9"/>
            <color indexed="81"/>
            <rFont val="Tahoma"/>
            <family val="2"/>
          </rPr>
          <t>En el</t>
        </r>
        <r>
          <rPr>
            <b/>
            <sz val="9"/>
            <color indexed="81"/>
            <rFont val="Tahoma"/>
            <family val="2"/>
          </rPr>
          <t xml:space="preserve"> Formulario Control Ginecologico o  Formulario Seguimiento Examen PAP/MAMAS,</t>
        </r>
        <r>
          <rPr>
            <sz val="9"/>
            <color indexed="81"/>
            <rFont val="Tahoma"/>
            <family val="2"/>
          </rPr>
          <t xml:space="preserve"> ingresar:</t>
        </r>
        <r>
          <rPr>
            <b/>
            <sz val="9"/>
            <color indexed="81"/>
            <rFont val="Tahoma"/>
            <family val="2"/>
          </rPr>
          <t xml:space="preserve">
- Fecha Examen VPH 
- Vigencia VPH 
- Resultado VPH
y 
- </t>
        </r>
        <r>
          <rPr>
            <sz val="9"/>
            <color indexed="81"/>
            <rFont val="Tahoma"/>
            <family val="2"/>
          </rPr>
          <t xml:space="preserve">En modulo de admision el campo sexo: </t>
        </r>
        <r>
          <rPr>
            <b/>
            <sz val="9"/>
            <color indexed="81"/>
            <rFont val="Tahoma"/>
            <family val="2"/>
          </rPr>
          <t>Hombre
Según grupo de edad a la fecha de corte.</t>
        </r>
      </text>
    </comment>
    <comment ref="D27" authorId="1" shapeId="0" xr:uid="{4472939E-F42C-47D6-9E76-ACE7349CDE28}">
      <text>
        <r>
          <rPr>
            <sz val="9"/>
            <color indexed="81"/>
            <rFont val="Tahoma"/>
            <family val="2"/>
          </rPr>
          <t xml:space="preserve">Se contaran siempre que el paciente tenga ingresado en el campo de sus datos "pueblo indigena" un valor correcto. 
Este dato se puede ingresar en el </t>
        </r>
        <r>
          <rPr>
            <b/>
            <sz val="9"/>
            <color indexed="81"/>
            <rFont val="Tahoma"/>
            <family val="2"/>
          </rPr>
          <t>Modulo de Admision</t>
        </r>
        <r>
          <rPr>
            <sz val="9"/>
            <color indexed="81"/>
            <rFont val="Tahoma"/>
            <family val="2"/>
          </rPr>
          <t xml:space="preserve"> o en </t>
        </r>
        <r>
          <rPr>
            <b/>
            <sz val="9"/>
            <color indexed="81"/>
            <rFont val="Tahoma"/>
            <family val="2"/>
          </rPr>
          <t>Modulo</t>
        </r>
        <r>
          <rPr>
            <sz val="9"/>
            <color indexed="81"/>
            <rFont val="Tahoma"/>
            <family val="2"/>
          </rPr>
          <t xml:space="preserve"> </t>
        </r>
        <r>
          <rPr>
            <b/>
            <sz val="9"/>
            <color indexed="81"/>
            <rFont val="Tahoma"/>
            <family val="2"/>
          </rPr>
          <t xml:space="preserve">Box - Pacientes Citados, </t>
        </r>
        <r>
          <rPr>
            <sz val="9"/>
            <color indexed="81"/>
            <rFont val="Tahoma"/>
            <family val="2"/>
          </rPr>
          <t>con la funcion modificar datos del paciente</t>
        </r>
      </text>
    </comment>
    <comment ref="E27" authorId="1" shapeId="0" xr:uid="{A2540426-3E26-425A-9096-A1CB070521B0}">
      <text>
        <r>
          <rPr>
            <sz val="9"/>
            <color indexed="81"/>
            <rFont val="Tahoma"/>
            <family val="2"/>
          </rPr>
          <t>Se contabilizara a los pacientes que tengan en Admisión - usuario "Alerta Administrativa" o Box - Pacientes Citados - "Alertas Administrativas" la alerta de</t>
        </r>
        <r>
          <rPr>
            <b/>
            <sz val="9"/>
            <color indexed="81"/>
            <rFont val="Tahoma"/>
            <family val="2"/>
          </rPr>
          <t xml:space="preserve"> "MIGRANTES"</t>
        </r>
        <r>
          <rPr>
            <sz val="9"/>
            <color indexed="81"/>
            <rFont val="Tahoma"/>
            <family val="2"/>
          </rPr>
          <t xml:space="preserve">
</t>
        </r>
      </text>
    </comment>
    <comment ref="B38" authorId="3" shapeId="0" xr:uid="{09861726-0AE3-4F5A-9F57-A08285FB04F2}">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xml:space="preserve">- Vigencia Mamografia </t>
        </r>
        <r>
          <rPr>
            <sz val="9"/>
            <color indexed="81"/>
            <rFont val="Tahoma"/>
            <family val="2"/>
          </rPr>
          <t xml:space="preserve">y </t>
        </r>
        <r>
          <rPr>
            <b/>
            <sz val="9"/>
            <color indexed="81"/>
            <rFont val="Tahoma"/>
            <family val="2"/>
          </rPr>
          <t>Fecha de Toma de Mamografía</t>
        </r>
        <r>
          <rPr>
            <sz val="9"/>
            <color indexed="81"/>
            <rFont val="Tahoma"/>
            <family val="2"/>
          </rPr>
          <t xml:space="preserve">
Nota: Si la fecha de Vigencia de la toma de Mamografía es Menor o igual a 2 años, se contabilizará.
Cada casilla se contabilizará de acuerdo a edad.
</t>
        </r>
      </text>
    </comment>
    <comment ref="C38" authorId="3" shapeId="0" xr:uid="{8AD12650-29CB-4B64-9638-4D107EE77CFA}">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xml:space="preserve">- Vigencia Mamografia </t>
        </r>
        <r>
          <rPr>
            <sz val="9"/>
            <color indexed="81"/>
            <rFont val="Tahoma"/>
            <family val="2"/>
          </rPr>
          <t xml:space="preserve">y </t>
        </r>
        <r>
          <rPr>
            <b/>
            <sz val="9"/>
            <color indexed="81"/>
            <rFont val="Tahoma"/>
            <family val="2"/>
          </rPr>
          <t>Fecha de Toma de Mamografía
-</t>
        </r>
        <r>
          <rPr>
            <sz val="9"/>
            <color indexed="81"/>
            <rFont val="Tahoma"/>
            <family val="2"/>
          </rPr>
          <t xml:space="preserve"> En modulo de admision el campo sexo:</t>
        </r>
        <r>
          <rPr>
            <b/>
            <sz val="9"/>
            <color indexed="81"/>
            <rFont val="Tahoma"/>
            <family val="2"/>
          </rPr>
          <t xml:space="preserve"> Hombre</t>
        </r>
        <r>
          <rPr>
            <sz val="9"/>
            <color indexed="81"/>
            <rFont val="Tahoma"/>
            <family val="2"/>
          </rPr>
          <t xml:space="preserve">
Nota: Si la fecha de Vigencia de la toma de Mamografía es Menor o igual a 2 años, se contabilizará.
Cada casilla se contabilizará de acuerdo a edad.
</t>
        </r>
      </text>
    </comment>
    <comment ref="D38" authorId="1" shapeId="0" xr:uid="{B6409D6F-EEC7-4D9D-8ACF-FA3CEDAC0F52}">
      <text>
        <r>
          <rPr>
            <sz val="9"/>
            <color indexed="81"/>
            <rFont val="Tahoma"/>
            <family val="2"/>
          </rPr>
          <t xml:space="preserve">Se contaran siempre que el paciente tenga ingresado en el campo de sus datos "pueblo indigena" un valor correcto. 
Este dato se puede ingresar en el </t>
        </r>
        <r>
          <rPr>
            <b/>
            <sz val="9"/>
            <color indexed="81"/>
            <rFont val="Tahoma"/>
            <family val="2"/>
          </rPr>
          <t>Modulo de Admision</t>
        </r>
        <r>
          <rPr>
            <sz val="9"/>
            <color indexed="81"/>
            <rFont val="Tahoma"/>
            <family val="2"/>
          </rPr>
          <t xml:space="preserve"> o en </t>
        </r>
        <r>
          <rPr>
            <b/>
            <sz val="9"/>
            <color indexed="81"/>
            <rFont val="Tahoma"/>
            <family val="2"/>
          </rPr>
          <t>Modulo</t>
        </r>
        <r>
          <rPr>
            <sz val="9"/>
            <color indexed="81"/>
            <rFont val="Tahoma"/>
            <family val="2"/>
          </rPr>
          <t xml:space="preserve"> </t>
        </r>
        <r>
          <rPr>
            <b/>
            <sz val="9"/>
            <color indexed="81"/>
            <rFont val="Tahoma"/>
            <family val="2"/>
          </rPr>
          <t xml:space="preserve">Box - Pacientes Citados, </t>
        </r>
        <r>
          <rPr>
            <sz val="9"/>
            <color indexed="81"/>
            <rFont val="Tahoma"/>
            <family val="2"/>
          </rPr>
          <t>con la funcion modificar datos del paciente</t>
        </r>
      </text>
    </comment>
    <comment ref="E38" authorId="1" shapeId="0" xr:uid="{0D2E84B1-8368-4A28-AF07-5E1CA7D8D812}">
      <text>
        <r>
          <rPr>
            <sz val="9"/>
            <color indexed="81"/>
            <rFont val="Tahoma"/>
            <family val="2"/>
          </rPr>
          <t>Se contabilizara a los pacientes que tengan en Admisión - usuario "Alerta Administrativa" o Box - Pacientes Citados - "Alertas Administrativas" la alerta de</t>
        </r>
        <r>
          <rPr>
            <b/>
            <sz val="9"/>
            <color indexed="81"/>
            <rFont val="Tahoma"/>
            <family val="2"/>
          </rPr>
          <t xml:space="preserve"> "MIGRANTES"</t>
        </r>
        <r>
          <rPr>
            <sz val="9"/>
            <color indexed="81"/>
            <rFont val="Tahoma"/>
            <family val="2"/>
          </rPr>
          <t xml:space="preserve">
</t>
        </r>
      </text>
    </comment>
    <comment ref="B51" authorId="3" shapeId="0" xr:uid="{93FEAE83-CAEE-4662-8C6A-11988293A744}">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 xml:space="preserve">Vigencia Mamas </t>
        </r>
        <r>
          <rPr>
            <sz val="9"/>
            <color indexed="81"/>
            <rFont val="Tahoma"/>
            <family val="2"/>
          </rPr>
          <t xml:space="preserve">y </t>
        </r>
        <r>
          <rPr>
            <b/>
            <sz val="9"/>
            <color indexed="81"/>
            <rFont val="Tahoma"/>
            <family val="2"/>
          </rPr>
          <t>Fecha Examen Mamas.</t>
        </r>
        <r>
          <rPr>
            <sz val="9"/>
            <color indexed="81"/>
            <rFont val="Tahoma"/>
            <family val="2"/>
          </rPr>
          <t xml:space="preserve">
Nota: Si la vigencia del examen de mamas es Menor o igual a 2 años, se contabilizará.
Cada casilla se contabilizará de acuerdo a edad. 
</t>
        </r>
      </text>
    </comment>
    <comment ref="C51" authorId="3" shapeId="0" xr:uid="{812A0E2D-CB4C-40CD-8B62-4F04DFE3BB21}">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 xml:space="preserve">Vigencia Mamas </t>
        </r>
        <r>
          <rPr>
            <sz val="9"/>
            <color indexed="81"/>
            <rFont val="Tahoma"/>
            <family val="2"/>
          </rPr>
          <t xml:space="preserve">y </t>
        </r>
        <r>
          <rPr>
            <b/>
            <sz val="9"/>
            <color indexed="81"/>
            <rFont val="Tahoma"/>
            <family val="2"/>
          </rPr>
          <t>Fecha Examen Mamas.</t>
        </r>
        <r>
          <rPr>
            <sz val="9"/>
            <color indexed="81"/>
            <rFont val="Tahoma"/>
            <family val="2"/>
          </rPr>
          <t xml:space="preserve">
Nota: Si la vigencia del examen de mamas es Menor o igual a 2 años, se contabilizará.
Cada casilla se contabilizará de acuerdo a edad. 
</t>
        </r>
      </text>
    </comment>
    <comment ref="D51" authorId="1" shapeId="0" xr:uid="{DB1CFC45-39EC-4985-99B4-F65DA42C5524}">
      <text>
        <r>
          <rPr>
            <sz val="9"/>
            <color indexed="81"/>
            <rFont val="Tahoma"/>
            <family val="2"/>
          </rPr>
          <t xml:space="preserve">Se contaran siempre que el paciente tenga ingresado en el campo de sus datos "pueblo indigena" un valor correcto. 
Este dato se puede ingresar en el </t>
        </r>
        <r>
          <rPr>
            <b/>
            <sz val="9"/>
            <color indexed="81"/>
            <rFont val="Tahoma"/>
            <family val="2"/>
          </rPr>
          <t>Modulo de Admision</t>
        </r>
        <r>
          <rPr>
            <sz val="9"/>
            <color indexed="81"/>
            <rFont val="Tahoma"/>
            <family val="2"/>
          </rPr>
          <t xml:space="preserve"> o en </t>
        </r>
        <r>
          <rPr>
            <b/>
            <sz val="9"/>
            <color indexed="81"/>
            <rFont val="Tahoma"/>
            <family val="2"/>
          </rPr>
          <t>Modulo</t>
        </r>
        <r>
          <rPr>
            <sz val="9"/>
            <color indexed="81"/>
            <rFont val="Tahoma"/>
            <family val="2"/>
          </rPr>
          <t xml:space="preserve"> </t>
        </r>
        <r>
          <rPr>
            <b/>
            <sz val="9"/>
            <color indexed="81"/>
            <rFont val="Tahoma"/>
            <family val="2"/>
          </rPr>
          <t xml:space="preserve">Box - Pacientes Citados, </t>
        </r>
        <r>
          <rPr>
            <sz val="9"/>
            <color indexed="81"/>
            <rFont val="Tahoma"/>
            <family val="2"/>
          </rPr>
          <t>con la funcion modificar datos del paciente</t>
        </r>
      </text>
    </comment>
    <comment ref="E51" authorId="1" shapeId="0" xr:uid="{B44E5663-1B64-4A30-AD15-1144EB574FBE}">
      <text>
        <r>
          <rPr>
            <sz val="9"/>
            <color indexed="81"/>
            <rFont val="Tahoma"/>
            <family val="2"/>
          </rPr>
          <t>Se contabilizara a los pacientes que tengan en Admisión - usuario "Alerta Administrativa" o Box - Pacientes Citados - "Alertas Administrativas" la alerta de</t>
        </r>
        <r>
          <rPr>
            <b/>
            <sz val="9"/>
            <color indexed="81"/>
            <rFont val="Tahoma"/>
            <family val="2"/>
          </rPr>
          <t xml:space="preserve"> "MIGRANTES"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Nicole Cisternas</author>
    <author>Maria Eliana Ramirez Espinoza</author>
  </authors>
  <commentList>
    <comment ref="Q9" authorId="0" shapeId="0" xr:uid="{E71AE986-BBAE-4FB2-8ED8-2C19A934F5B3}">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t>
        </r>
        <r>
          <rPr>
            <b/>
            <sz val="9"/>
            <color indexed="81"/>
            <rFont val="Tahoma"/>
            <family val="2"/>
          </rPr>
          <t>"Programa SENAME - Ambulatorios"
ó
"Programa SENAME - Residenciales"
ó
"Programa SENAME - CIP/CRC"</t>
        </r>
        <r>
          <rPr>
            <sz val="9"/>
            <color indexed="81"/>
            <rFont val="Tahoma"/>
            <family val="2"/>
          </rPr>
          <t xml:space="preserve">
</t>
        </r>
      </text>
    </comment>
    <comment ref="R9" authorId="0" shapeId="0" xr:uid="{0364D30E-9E97-491D-807E-85F179211DB9}">
      <text>
        <r>
          <rPr>
            <sz val="9"/>
            <color indexed="81"/>
            <rFont val="Tahoma"/>
            <family val="2"/>
          </rPr>
          <t xml:space="preserve">Este dato aparecerá luego que en el Modulo de </t>
        </r>
        <r>
          <rPr>
            <b/>
            <sz val="9"/>
            <color indexed="81"/>
            <rFont val="Tahoma"/>
            <family val="2"/>
          </rPr>
          <t>Admision</t>
        </r>
        <r>
          <rPr>
            <sz val="9"/>
            <color indexed="81"/>
            <rFont val="Tahoma"/>
            <family val="2"/>
          </rPr>
          <t xml:space="preserve"> el paciente indique un </t>
        </r>
        <r>
          <rPr>
            <b/>
            <sz val="9"/>
            <color indexed="81"/>
            <rFont val="Tahoma"/>
            <family val="2"/>
          </rPr>
          <t>Pueblo Originario
Y
"Programa SENAME - Ambulatorios"
ó
"Programa SENAME - Residenciales"
ó
"Programa SENAME - CIP/CRC"
Y</t>
        </r>
        <r>
          <rPr>
            <sz val="9"/>
            <color indexed="81"/>
            <rFont val="Tahoma"/>
            <family val="2"/>
          </rPr>
          <t xml:space="preserve">
Además se cumplan con las condiciones solicitadas, de acuerdo a las variables de la sección.</t>
        </r>
      </text>
    </comment>
    <comment ref="A13" authorId="1" shapeId="0" xr:uid="{2FB25353-B20C-49EF-BED2-A1A22EB63A2B}">
      <text>
        <r>
          <rPr>
            <sz val="9"/>
            <color indexed="81"/>
            <rFont val="Tahoma"/>
            <family val="2"/>
          </rPr>
          <t xml:space="preserve">Se contabilizara a los pacientes que tengan en Antecedentes del usuario APS / Pestaña "Identificacion"  Item  Alertas Adm: 
</t>
        </r>
        <r>
          <rPr>
            <b/>
            <sz val="9"/>
            <color indexed="81"/>
            <rFont val="Tahoma"/>
            <family val="2"/>
          </rPr>
          <t>"SPE ex Mejor Niñez - Ambulatorio"</t>
        </r>
        <r>
          <rPr>
            <sz val="9"/>
            <color indexed="81"/>
            <rFont val="Tahoma"/>
            <family val="2"/>
          </rPr>
          <t xml:space="preserve">
</t>
        </r>
      </text>
    </comment>
    <comment ref="A14" authorId="1" shapeId="0" xr:uid="{4890B809-9FED-4890-A6CF-F93B7F5ACCDD}">
      <text>
        <r>
          <rPr>
            <sz val="9"/>
            <color indexed="81"/>
            <rFont val="Tahoma"/>
            <family val="2"/>
          </rPr>
          <t>Se contabilizara a los pacientes que tengan en</t>
        </r>
        <r>
          <rPr>
            <b/>
            <sz val="9"/>
            <color indexed="81"/>
            <rFont val="Tahoma"/>
            <family val="2"/>
          </rPr>
          <t xml:space="preserve"> Antecedentes del usuario APS / Pestaña "Identificacion"  Item  Alertas Adm: 
"Programa SENAME - Ambulatorio"
</t>
        </r>
      </text>
    </comment>
    <comment ref="A15" authorId="0" shapeId="0" xr:uid="{EB9FB584-E2B0-4F5D-AABA-C5E0B209B7C1}">
      <text>
        <r>
          <rPr>
            <sz val="9"/>
            <color indexed="81"/>
            <rFont val="Tahoma"/>
            <family val="2"/>
          </rPr>
          <t xml:space="preserve">Se contabilizara a los pacientes que tengan en </t>
        </r>
        <r>
          <rPr>
            <b/>
            <sz val="9"/>
            <color indexed="81"/>
            <rFont val="Tahoma"/>
            <family val="2"/>
          </rPr>
          <t>Antecedentes del usuario APS / Pestaña "Identificacion"  Item  Alertas Administrativa: 
"SPE ex Mejor Niñez - Residencial"</t>
        </r>
        <r>
          <rPr>
            <sz val="9"/>
            <color indexed="81"/>
            <rFont val="Tahoma"/>
            <family val="2"/>
          </rPr>
          <t xml:space="preserve">
</t>
        </r>
      </text>
    </comment>
    <comment ref="A16" authorId="0" shapeId="0" xr:uid="{9AC366D9-1B69-44C7-9FBA-608FD590BC6B}">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CIP/CRC"</t>
        </r>
        <r>
          <rPr>
            <sz val="9"/>
            <color indexed="81"/>
            <rFont val="Tahoma"/>
            <family val="2"/>
          </rPr>
          <t xml:space="preserve">
</t>
        </r>
      </text>
    </comment>
    <comment ref="Q18" authorId="0" shapeId="0" xr:uid="{5A277380-9B9A-4F8F-8CF1-BE60CF6F01D1}">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"Programa SENAME - Ambulatorios"
ó
"Programa SENAME - Residenciales"
ó
"Programa SENAME - CIP/CRC"</t>
        </r>
        <r>
          <rPr>
            <sz val="9"/>
            <color indexed="81"/>
            <rFont val="Tahoma"/>
            <family val="2"/>
          </rPr>
          <t xml:space="preserve">
</t>
        </r>
        <r>
          <rPr>
            <b/>
            <sz val="9"/>
            <color indexed="81"/>
            <rFont val="Tahoma"/>
            <family val="2"/>
          </rPr>
          <t>Y</t>
        </r>
        <r>
          <rPr>
            <sz val="9"/>
            <color indexed="81"/>
            <rFont val="Tahoma"/>
            <family val="2"/>
          </rPr>
          <t xml:space="preserve">
Además se cumplan con las condiciones solicitadas, de acuerdo a las variables de la sección.</t>
        </r>
      </text>
    </comment>
    <comment ref="R18" authorId="0" shapeId="0" xr:uid="{0BFF67A5-5743-434C-BD29-DF2076869EB4}">
      <text>
        <r>
          <rPr>
            <sz val="9"/>
            <color indexed="81"/>
            <rFont val="Tahoma"/>
            <family val="2"/>
          </rPr>
          <t xml:space="preserve">Este dato aparecerá luego que en el Modulo de </t>
        </r>
        <r>
          <rPr>
            <b/>
            <sz val="9"/>
            <color indexed="81"/>
            <rFont val="Tahoma"/>
            <family val="2"/>
          </rPr>
          <t>Admision</t>
        </r>
        <r>
          <rPr>
            <sz val="9"/>
            <color indexed="81"/>
            <rFont val="Tahoma"/>
            <family val="2"/>
          </rPr>
          <t xml:space="preserve"> el paciente indique un </t>
        </r>
        <r>
          <rPr>
            <b/>
            <sz val="9"/>
            <color indexed="81"/>
            <rFont val="Tahoma"/>
            <family val="2"/>
          </rPr>
          <t>Pueblo Originario</t>
        </r>
        <r>
          <rPr>
            <sz val="9"/>
            <color indexed="81"/>
            <rFont val="Tahoma"/>
            <family val="2"/>
          </rPr>
          <t xml:space="preserve">
</t>
        </r>
        <r>
          <rPr>
            <b/>
            <sz val="9"/>
            <color indexed="81"/>
            <rFont val="Tahoma"/>
            <family val="2"/>
          </rPr>
          <t>Y
"Programa SENAME - Ambulatorios"
ó
"Programa SENAME - Residenciales"
ó
"Programa SENAME - CIP/CRC"
Y</t>
        </r>
        <r>
          <rPr>
            <sz val="9"/>
            <color indexed="81"/>
            <rFont val="Tahoma"/>
            <family val="2"/>
          </rPr>
          <t xml:space="preserve">
Además se cumplan con las condiciones solicitadas, de acuerdo a las variables de la sección.</t>
        </r>
      </text>
    </comment>
    <comment ref="S18" authorId="1" shapeId="0" xr:uid="{8B936269-84DD-4521-90CA-24AEA78A5C55}">
      <text>
        <r>
          <rPr>
            <sz val="9"/>
            <color indexed="81"/>
            <rFont val="Tahoma"/>
            <family val="2"/>
          </rPr>
          <t xml:space="preserve">Se contabilizara a los usuarios que tengan registrado desde </t>
        </r>
        <r>
          <rPr>
            <b/>
            <sz val="9"/>
            <color indexed="81"/>
            <rFont val="Tahoma"/>
            <family val="2"/>
          </rPr>
          <t>BOX o Inscripcion la  alerta administrativa: 
SPE ex Mejor Niñez - Ambulatorio
o
SPE ex Mejor Niñez - Residencial</t>
        </r>
        <r>
          <rPr>
            <sz val="9"/>
            <color indexed="81"/>
            <rFont val="Tahoma"/>
            <family val="2"/>
          </rPr>
          <t xml:space="preserve">
</t>
        </r>
      </text>
    </comment>
    <comment ref="T18" authorId="1" shapeId="0" xr:uid="{080AD268-DFC8-4705-B4E4-36B185FF34A1}">
      <text>
        <r>
          <rPr>
            <sz val="9"/>
            <color indexed="81"/>
            <rFont val="Tahoma"/>
            <family val="2"/>
          </rPr>
          <t xml:space="preserve">
Se contabilizará a los usuarios que tengan registrado desde </t>
        </r>
        <r>
          <rPr>
            <b/>
            <sz val="9"/>
            <color indexed="81"/>
            <rFont val="Tahoma"/>
            <family val="2"/>
          </rPr>
          <t>BOX o Inscripción alguna de las siguientes alertas administrativas:</t>
        </r>
        <r>
          <rPr>
            <sz val="9"/>
            <color indexed="81"/>
            <rFont val="Tahoma"/>
            <family val="2"/>
          </rPr>
          <t xml:space="preserve">
</t>
        </r>
        <r>
          <rPr>
            <b/>
            <sz val="9"/>
            <color indexed="81"/>
            <rFont val="Tahoma"/>
            <family val="2"/>
          </rPr>
          <t xml:space="preserve">Programa SENAME - Ambulatorios
o
Programa SENAME - CIP/CRC
</t>
        </r>
        <r>
          <rPr>
            <sz val="9"/>
            <color indexed="81"/>
            <rFont val="Tahoma"/>
            <family val="2"/>
          </rPr>
          <t xml:space="preserve">
</t>
        </r>
      </text>
    </comment>
    <comment ref="A21" authorId="1" shapeId="0" xr:uid="{B44B618F-1053-4B12-8584-B0F3B9A529CA}">
      <text>
        <r>
          <rPr>
            <sz val="9"/>
            <color indexed="81"/>
            <rFont val="Tahoma"/>
            <family val="2"/>
          </rPr>
          <t xml:space="preserve">Se contabilizará a los usuarios que tengan registrado desde </t>
        </r>
        <r>
          <rPr>
            <b/>
            <sz val="9"/>
            <color indexed="81"/>
            <rFont val="Tahoma"/>
            <family val="2"/>
          </rPr>
          <t>BOX o Inscripcion la alerta administrativa:</t>
        </r>
        <r>
          <rPr>
            <sz val="9"/>
            <color indexed="81"/>
            <rFont val="Tahoma"/>
            <family val="2"/>
          </rPr>
          <t xml:space="preserve">
</t>
        </r>
        <r>
          <rPr>
            <b/>
            <sz val="9"/>
            <color indexed="81"/>
            <rFont val="Tahoma"/>
            <family val="2"/>
          </rPr>
          <t>"Programa SENAME - Ambulatorios"
o
"SPE ex Mejor Niñez - Residencial"
o
"Programa SENAME - CIP/CRC"</t>
        </r>
        <r>
          <rPr>
            <sz val="9"/>
            <color indexed="81"/>
            <rFont val="Tahoma"/>
            <family val="2"/>
          </rPr>
          <t xml:space="preserve">
Y
En el </t>
        </r>
        <r>
          <rPr>
            <b/>
            <sz val="9"/>
            <color indexed="81"/>
            <rFont val="Tahoma"/>
            <family val="2"/>
          </rPr>
          <t>Formulario Clinico "Regulacion de Fecundidad (Paternidad Responsable)</t>
        </r>
        <r>
          <rPr>
            <sz val="9"/>
            <color indexed="81"/>
            <rFont val="Tahoma"/>
            <family val="2"/>
          </rPr>
          <t xml:space="preserve"> en campo </t>
        </r>
        <r>
          <rPr>
            <b/>
            <sz val="9"/>
            <color indexed="81"/>
            <rFont val="Tahoma"/>
            <family val="2"/>
          </rPr>
          <t>"Metodo anticonceptivo actual"</t>
        </r>
        <r>
          <rPr>
            <sz val="9"/>
            <color indexed="81"/>
            <rFont val="Tahoma"/>
            <family val="2"/>
          </rPr>
          <t xml:space="preserve"> tenga un </t>
        </r>
        <r>
          <rPr>
            <b/>
            <sz val="9"/>
            <color indexed="81"/>
            <rFont val="Tahoma"/>
            <family val="2"/>
          </rPr>
          <t>valor registrado</t>
        </r>
        <r>
          <rPr>
            <sz val="9"/>
            <color indexed="81"/>
            <rFont val="Tahoma"/>
            <family val="2"/>
          </rPr>
          <t xml:space="preserve">  
</t>
        </r>
      </text>
    </comment>
    <comment ref="A22" authorId="1" shapeId="0" xr:uid="{C5F79226-60E0-4AE2-AFFF-A0E147D6E6E8}">
      <text>
        <r>
          <rPr>
            <sz val="9"/>
            <color indexed="81"/>
            <rFont val="Tahoma"/>
            <family val="2"/>
          </rPr>
          <t>Se contabilizará a los usuarios que tengan registrado desde</t>
        </r>
        <r>
          <rPr>
            <b/>
            <sz val="9"/>
            <color indexed="81"/>
            <rFont val="Tahoma"/>
            <family val="2"/>
          </rPr>
          <t xml:space="preserve"> BOX o Inscripcion la alerta administrativa:
"Programa SENAME - Ambulatorios"
o
"SPE ex Mejor Niñez - Residencial"
o
"Programa SENAME - CIP/CRC"
</t>
        </r>
        <r>
          <rPr>
            <sz val="9"/>
            <color indexed="81"/>
            <rFont val="Tahoma"/>
            <family val="2"/>
          </rPr>
          <t xml:space="preserve">Y
En el </t>
        </r>
        <r>
          <rPr>
            <b/>
            <sz val="9"/>
            <color indexed="81"/>
            <rFont val="Tahoma"/>
            <family val="2"/>
          </rPr>
          <t xml:space="preserve">Formulario Clinico "Pauta Breve de evaluacion de Riesgo Psicosocial" en el campo "Resultado Riesgo Psicosocial"  </t>
        </r>
        <r>
          <rPr>
            <sz val="9"/>
            <color indexed="81"/>
            <rFont val="Tahoma"/>
            <family val="2"/>
          </rPr>
          <t>tenga el valor</t>
        </r>
        <r>
          <rPr>
            <b/>
            <sz val="9"/>
            <color indexed="81"/>
            <rFont val="Tahoma"/>
            <family val="2"/>
          </rPr>
          <t xml:space="preserve"> "Si"</t>
        </r>
      </text>
    </comment>
    <comment ref="A23" authorId="1" shapeId="0" xr:uid="{CB7436FA-E3EC-453F-89A5-F5E5149BE34A}">
      <text>
        <r>
          <rPr>
            <sz val="9"/>
            <color indexed="81"/>
            <rFont val="Tahoma"/>
            <family val="2"/>
          </rPr>
          <t xml:space="preserve">Se contabilizará a los usuarios que tengan registrado desde </t>
        </r>
        <r>
          <rPr>
            <b/>
            <sz val="9"/>
            <color indexed="81"/>
            <rFont val="Tahoma"/>
            <family val="2"/>
          </rPr>
          <t xml:space="preserve">BOX o Inscripcion la alerta administrativa:
"Programa SENAME - Ambulatorios"
o
"SPE ex Mejor Niñez - Residencial"
o
"Programa SENAME - CIP/CRC"
</t>
        </r>
        <r>
          <rPr>
            <sz val="9"/>
            <color indexed="81"/>
            <rFont val="Tahoma"/>
            <family val="2"/>
          </rPr>
          <t>Y
En el</t>
        </r>
        <r>
          <rPr>
            <b/>
            <sz val="9"/>
            <color indexed="81"/>
            <rFont val="Tahoma"/>
            <family val="2"/>
          </rPr>
          <t xml:space="preserve"> Formulario Clinico "Control de Crecimiento y Desarrollo (Control Sano)"  </t>
        </r>
        <r>
          <rPr>
            <sz val="9"/>
            <color indexed="81"/>
            <rFont val="Tahoma"/>
            <family val="2"/>
          </rPr>
          <t>en el campo</t>
        </r>
        <r>
          <rPr>
            <b/>
            <sz val="9"/>
            <color indexed="81"/>
            <rFont val="Tahoma"/>
            <family val="2"/>
          </rPr>
          <t xml:space="preserve"> "Estado Nutricional" </t>
        </r>
        <r>
          <rPr>
            <sz val="9"/>
            <color indexed="81"/>
            <rFont val="Tahoma"/>
            <family val="2"/>
          </rPr>
          <t xml:space="preserve">tenga un </t>
        </r>
        <r>
          <rPr>
            <b/>
            <sz val="9"/>
            <color indexed="81"/>
            <rFont val="Tahoma"/>
            <family val="2"/>
          </rPr>
          <t xml:space="preserve">valor registrado 
</t>
        </r>
      </text>
    </comment>
    <comment ref="A24" authorId="1" shapeId="0" xr:uid="{4E0AEEEA-6FFB-4A62-A0AF-46A4AA39D6E5}">
      <text>
        <r>
          <rPr>
            <sz val="9"/>
            <color indexed="81"/>
            <rFont val="Tahoma"/>
            <family val="2"/>
          </rPr>
          <t xml:space="preserve">Se contabilizará a los usuarios que tengan registrado desde </t>
        </r>
        <r>
          <rPr>
            <b/>
            <sz val="9"/>
            <color indexed="81"/>
            <rFont val="Tahoma"/>
            <family val="2"/>
          </rPr>
          <t xml:space="preserve">BOX o Inscripcion la alerta administrativa:
"Programa SENAME - Ambulatorios"
o
"SPE ex Mejor Niñez - Residencial"
o
"Programa SENAME - CIP/CRC"
</t>
        </r>
        <r>
          <rPr>
            <sz val="9"/>
            <color indexed="81"/>
            <rFont val="Tahoma"/>
            <family val="2"/>
          </rPr>
          <t xml:space="preserve">Y
En el </t>
        </r>
        <r>
          <rPr>
            <b/>
            <sz val="9"/>
            <color indexed="81"/>
            <rFont val="Tahoma"/>
            <family val="2"/>
          </rPr>
          <t xml:space="preserve">Formulario Clinico "Ficha Salud Integral Asolescente (Clap Modificada)"  </t>
        </r>
        <r>
          <rPr>
            <sz val="9"/>
            <color indexed="81"/>
            <rFont val="Tahoma"/>
            <family val="2"/>
          </rPr>
          <t>en el campo</t>
        </r>
        <r>
          <rPr>
            <b/>
            <sz val="9"/>
            <color indexed="81"/>
            <rFont val="Tahoma"/>
            <family val="2"/>
          </rPr>
          <t xml:space="preserve"> "Deteccion de Riesgo" </t>
        </r>
        <r>
          <rPr>
            <sz val="9"/>
            <color indexed="81"/>
            <rFont val="Tahoma"/>
            <family val="2"/>
          </rPr>
          <t xml:space="preserve">tengo un </t>
        </r>
        <r>
          <rPr>
            <b/>
            <sz val="9"/>
            <color indexed="81"/>
            <rFont val="Tahoma"/>
            <family val="2"/>
          </rPr>
          <t>valor registrado</t>
        </r>
      </text>
    </comment>
    <comment ref="A25" authorId="1" shapeId="0" xr:uid="{D8CC73F3-AAA7-4BBD-A973-55794BB2CB23}">
      <text>
        <r>
          <rPr>
            <sz val="9"/>
            <color indexed="81"/>
            <rFont val="Tahoma"/>
            <family val="2"/>
          </rPr>
          <t>Se contabilizará a los usuarios que tengan registrado d</t>
        </r>
        <r>
          <rPr>
            <b/>
            <sz val="9"/>
            <color indexed="81"/>
            <rFont val="Tahoma"/>
            <family val="2"/>
          </rPr>
          <t>esde BOX o Inscripcion la alerta administrativa:
"Programa SENAME - Ambulatorios"
o
"SPE ex Mejor Niñez - Residencial"
o
"Programa SENAME - CIP/CRC"</t>
        </r>
        <r>
          <rPr>
            <sz val="9"/>
            <color indexed="81"/>
            <rFont val="Tahoma"/>
            <family val="2"/>
          </rPr>
          <t xml:space="preserve">
Y
T</t>
        </r>
        <r>
          <rPr>
            <sz val="9"/>
            <color indexed="81"/>
            <rFont val="Tahoma"/>
            <family val="2"/>
          </rPr>
          <t xml:space="preserve">engan Registrada en el </t>
        </r>
        <r>
          <rPr>
            <b/>
            <sz val="9"/>
            <color indexed="81"/>
            <rFont val="Tahoma"/>
            <family val="2"/>
          </rPr>
          <t xml:space="preserve">módulo Box - Pacientes Citados o en Atención - Registro Atención Individual, </t>
        </r>
        <r>
          <rPr>
            <sz val="9"/>
            <color indexed="81"/>
            <rFont val="Tahoma"/>
            <family val="2"/>
          </rPr>
          <t xml:space="preserve"> alguna de las actividades:</t>
        </r>
        <r>
          <rPr>
            <sz val="9"/>
            <color indexed="81"/>
            <rFont val="Tahoma"/>
            <family val="2"/>
          </rPr>
          <t xml:space="preserve">
</t>
        </r>
        <r>
          <rPr>
            <b/>
            <sz val="9"/>
            <color indexed="81"/>
            <rFont val="Tahoma"/>
            <family val="2"/>
          </rPr>
          <t>-</t>
        </r>
        <r>
          <rPr>
            <sz val="9"/>
            <color indexed="81"/>
            <rFont val="Tahoma"/>
            <family val="2"/>
          </rPr>
          <t xml:space="preserve"> </t>
        </r>
        <r>
          <rPr>
            <b/>
            <sz val="9"/>
            <color indexed="81"/>
            <rFont val="Tahoma"/>
            <family val="2"/>
          </rPr>
          <t xml:space="preserve">Control de Salud 
- Control de Salud con Presencia de Padre Control de Salud - Espacios Amigables 
- Control de Salud Individual - Establecimiento Educacional - Kinder 
- Control de Salud Individual - Establecimiento Educacional - Primero Básico 
- Control de Salud Individual - Establecimiento Educacional - Segundo Básico 
- Control de Salud Individual - Establecimiento Educacional - Tercero Básico 
- Control de Salud Individual - Establecimiento Educacional - Cuarto Básico 
- Control de Salud Integral de Adolecentes Prog. Joven Sano - En otros lugares fuera del establecimiento de Salud 
- Control de Salud Integral de Adolecentes Prog. Joven Sano - En establecimientos educacionales 
- Control de Salud Integral de Adolecentes Prog. Joven Sano - En otros espacios del establecimiento de salud 
- Control de Salud Integral de Adolecentes Prog. Joven Sano - En espacio Amigable/diferenciado 
</t>
        </r>
        <r>
          <rPr>
            <sz val="9"/>
            <color indexed="81"/>
            <rFont val="Tahoma"/>
            <family val="2"/>
          </rPr>
          <t xml:space="preserve">
"Pacientes mayor de 20 años"</t>
        </r>
      </text>
    </comment>
    <comment ref="A26" authorId="1" shapeId="0" xr:uid="{A248C44A-5B9B-4478-B07D-D7C4F2AD69B1}">
      <text>
        <r>
          <rPr>
            <sz val="9"/>
            <color indexed="81"/>
            <rFont val="Tahoma"/>
            <family val="2"/>
          </rPr>
          <t xml:space="preserve">Se contabilizará a los usuarios que tengan registrado desde </t>
        </r>
        <r>
          <rPr>
            <b/>
            <sz val="9"/>
            <color indexed="81"/>
            <rFont val="Tahoma"/>
            <family val="2"/>
          </rPr>
          <t xml:space="preserve">BOX o Inscripcion la alerta administrativa:
"Programa SENAME - Ambulatorios"
o
"SPE ex Mejor Niñez - Residencial"
o
"Programa SENAME - CIP/CRC"
Y
</t>
        </r>
        <r>
          <rPr>
            <sz val="9"/>
            <color indexed="81"/>
            <rFont val="Tahoma"/>
            <family val="2"/>
          </rPr>
          <t xml:space="preserve">Sea parte del </t>
        </r>
        <r>
          <rPr>
            <b/>
            <sz val="9"/>
            <color indexed="81"/>
            <rFont val="Tahoma"/>
            <family val="2"/>
          </rPr>
          <t xml:space="preserve">programa de Salud Mental, </t>
        </r>
        <r>
          <rPr>
            <sz val="9"/>
            <color indexed="81"/>
            <rFont val="Tahoma"/>
            <family val="2"/>
          </rPr>
          <t xml:space="preserve">donde debe tener registrado el </t>
        </r>
        <r>
          <rPr>
            <b/>
            <sz val="9"/>
            <color indexed="81"/>
            <rFont val="Tahoma"/>
            <family val="2"/>
          </rPr>
          <t xml:space="preserve">Formulario Control de Salud Mental  </t>
        </r>
        <r>
          <rPr>
            <sz val="9"/>
            <color indexed="81"/>
            <rFont val="Tahoma"/>
            <family val="2"/>
          </rPr>
          <t xml:space="preserve">con alguno de los </t>
        </r>
        <r>
          <rPr>
            <b/>
            <sz val="9"/>
            <color indexed="81"/>
            <rFont val="Tahoma"/>
            <family val="2"/>
          </rPr>
          <t xml:space="preserve">estados </t>
        </r>
        <r>
          <rPr>
            <sz val="9"/>
            <color indexed="81"/>
            <rFont val="Tahoma"/>
            <family val="2"/>
          </rPr>
          <t xml:space="preserve">de </t>
        </r>
        <r>
          <rPr>
            <b/>
            <sz val="9"/>
            <color indexed="81"/>
            <rFont val="Tahoma"/>
            <family val="2"/>
          </rPr>
          <t xml:space="preserve">Ingreso o Seguimiento </t>
        </r>
        <r>
          <rPr>
            <sz val="9"/>
            <color indexed="81"/>
            <rFont val="Tahoma"/>
            <family val="2"/>
          </rPr>
          <t>en</t>
        </r>
        <r>
          <rPr>
            <b/>
            <sz val="9"/>
            <color indexed="81"/>
            <rFont val="Tahoma"/>
            <family val="2"/>
          </rPr>
          <t xml:space="preserve"> Factores de Riesgo y Condicionantes de la Salud Mental o Diagnósticos de Trastornos Mentales
</t>
        </r>
        <r>
          <rPr>
            <sz val="9"/>
            <color indexed="81"/>
            <rFont val="Tahoma"/>
            <family val="2"/>
          </rPr>
          <t xml:space="preserve">
</t>
        </r>
      </text>
    </comment>
    <comment ref="A27" authorId="1" shapeId="0" xr:uid="{D709CD69-6056-4741-8394-993DC1502C26}">
      <text>
        <r>
          <rPr>
            <sz val="9"/>
            <color indexed="81"/>
            <rFont val="Tahoma"/>
            <family val="2"/>
          </rPr>
          <t xml:space="preserve">Se contabilizará a los usuarios que tengan registrado desde </t>
        </r>
        <r>
          <rPr>
            <b/>
            <sz val="9"/>
            <color indexed="81"/>
            <rFont val="Tahoma"/>
            <family val="2"/>
          </rPr>
          <t xml:space="preserve">BOX o Inscripcion la alerta administrativa:
"Programa SENAME - Ambulatorios"
o
"SPE ex Mejor Niñez - Residencial"
o
"Programa SENAME - CIP/CRC"
</t>
        </r>
        <r>
          <rPr>
            <sz val="9"/>
            <color indexed="81"/>
            <rFont val="Tahoma"/>
            <family val="2"/>
          </rPr>
          <t xml:space="preserve">Y
Se registre la </t>
        </r>
        <r>
          <rPr>
            <b/>
            <sz val="9"/>
            <color indexed="81"/>
            <rFont val="Tahoma"/>
            <family val="2"/>
          </rPr>
          <t>Actividad:  "Programa de acompañamiento Psicosocial"</t>
        </r>
      </text>
    </comment>
    <comment ref="A28" authorId="1" shapeId="0" xr:uid="{3A581699-3BDC-4E70-87F9-E23944312694}">
      <text>
        <r>
          <rPr>
            <sz val="9"/>
            <color indexed="81"/>
            <rFont val="Tahoma"/>
            <family val="2"/>
          </rPr>
          <t>Se contabilizará a los usuarios que tengan registrado desde</t>
        </r>
        <r>
          <rPr>
            <b/>
            <sz val="9"/>
            <color indexed="81"/>
            <rFont val="Tahoma"/>
            <family val="2"/>
          </rPr>
          <t xml:space="preserve"> BOX o Inscripcion la alerta administrativa:
"Programa SENAME - Ambulatorios"
o
"SPE ex Mejor Niñez - Residencial"
o
"Programa SENAME - CIP/CRC"
</t>
        </r>
        <r>
          <rPr>
            <sz val="9"/>
            <color indexed="81"/>
            <rFont val="Tahoma"/>
            <family val="2"/>
          </rPr>
          <t>Y</t>
        </r>
        <r>
          <rPr>
            <b/>
            <sz val="9"/>
            <color indexed="81"/>
            <rFont val="Tahoma"/>
            <family val="2"/>
          </rPr>
          <t xml:space="preserve">
</t>
        </r>
        <r>
          <rPr>
            <sz val="9"/>
            <color indexed="81"/>
            <rFont val="Tahoma"/>
            <family val="2"/>
          </rPr>
          <t>Tengan registrada atención por odontólogo</t>
        </r>
        <r>
          <rPr>
            <b/>
            <sz val="9"/>
            <color indexed="81"/>
            <rFont val="Tahoma"/>
            <family val="2"/>
          </rPr>
          <t xml:space="preserve">, en el módulo Box - Pacientes Citados o en Atención - Registro Atención Individual, </t>
        </r>
        <r>
          <rPr>
            <sz val="9"/>
            <color indexed="81"/>
            <rFont val="Tahoma"/>
            <family val="2"/>
          </rPr>
          <t xml:space="preserve">y se registre actividad:
- </t>
        </r>
        <r>
          <rPr>
            <b/>
            <sz val="9"/>
            <color indexed="81"/>
            <rFont val="Tahoma"/>
            <family val="2"/>
          </rPr>
          <t>Control odontológico</t>
        </r>
        <r>
          <rPr>
            <sz val="9"/>
            <color indexed="81"/>
            <rFont val="Tahoma"/>
            <family val="2"/>
          </rPr>
          <t xml:space="preserve">
</t>
        </r>
      </text>
    </comment>
  </commentList>
</comments>
</file>

<file path=xl/sharedStrings.xml><?xml version="1.0" encoding="utf-8"?>
<sst xmlns="http://schemas.openxmlformats.org/spreadsheetml/2006/main" count="2950" uniqueCount="865">
  <si>
    <t>DATOS DEL ESTABLECIMIENTO</t>
  </si>
  <si>
    <t>REM-P1. POBLACIÓN EN CONTROL PROGRAMA DE SALUD DE LA MUJER</t>
  </si>
  <si>
    <t>ATENCIÓN PRIMARIA DE SALUD</t>
  </si>
  <si>
    <t xml:space="preserve">SECCION A: POBLACIÓN EN CONTROL SEGÚN MÉTODO DE REGULACIÓN DE FERTILIDAD </t>
  </si>
  <si>
    <t>MÉTODOS</t>
  </si>
  <si>
    <t>TOTAL</t>
  </si>
  <si>
    <t>RANGO ETARIO</t>
  </si>
  <si>
    <t>Pueblos Originarios</t>
  </si>
  <si>
    <t xml:space="preserve"> Migrantes</t>
  </si>
  <si>
    <t>PV-VIH (personas viviendo con VIH)</t>
  </si>
  <si>
    <t>Identidad de Género</t>
  </si>
  <si>
    <t>Personas con Discapacidad</t>
  </si>
  <si>
    <t>Menor 
de 15 años</t>
  </si>
  <si>
    <t>15 a 19 años</t>
  </si>
  <si>
    <t>20 a 24 años</t>
  </si>
  <si>
    <t>25 a 29 años</t>
  </si>
  <si>
    <t>30 a 34 años</t>
  </si>
  <si>
    <t>35 a 39 años</t>
  </si>
  <si>
    <t>40 a 44 años</t>
  </si>
  <si>
    <t>45 a 49 años</t>
  </si>
  <si>
    <t>50 a 54 años</t>
  </si>
  <si>
    <t>55 a 59 años</t>
  </si>
  <si>
    <t>60 a 64 años</t>
  </si>
  <si>
    <t>65 a 69 años</t>
  </si>
  <si>
    <t>70 y más años</t>
  </si>
  <si>
    <t>Menor de 20 años</t>
  </si>
  <si>
    <t>20 años y más</t>
  </si>
  <si>
    <t>Trans Masculino</t>
  </si>
  <si>
    <t>Trans Femenino</t>
  </si>
  <si>
    <t>No Binarie</t>
  </si>
  <si>
    <t>D . I . U T con Cobre</t>
  </si>
  <si>
    <t>D . I . U con Levonorgestrel</t>
  </si>
  <si>
    <t>Hormonal</t>
  </si>
  <si>
    <t>Oral Combinado</t>
  </si>
  <si>
    <t>Oral Progestágeno</t>
  </si>
  <si>
    <t>Inyectable Combinado</t>
  </si>
  <si>
    <t>Inyectable Progestágeno</t>
  </si>
  <si>
    <t>Implante Etonogestrel (3 años)</t>
  </si>
  <si>
    <t>Implante Levonorgestrel (5 años)</t>
  </si>
  <si>
    <t>Anillo Vaginal</t>
  </si>
  <si>
    <t>Solo Preservativo MAC</t>
  </si>
  <si>
    <t>Mujer</t>
  </si>
  <si>
    <t>Hombres</t>
  </si>
  <si>
    <t xml:space="preserve">Esterilización Quirúrgica </t>
  </si>
  <si>
    <t xml:space="preserve">Otro </t>
  </si>
  <si>
    <t>Total</t>
  </si>
  <si>
    <t xml:space="preserve"> Mujeres en control con enfermedad cardiovascular (DM-HTA)</t>
  </si>
  <si>
    <t>Mujeres con Retiro de Implante Anticipado en el semestre (antes de los 3 años)</t>
  </si>
  <si>
    <t>En APS</t>
  </si>
  <si>
    <t xml:space="preserve">En Extrasistema </t>
  </si>
  <si>
    <t>Mujeres con Retiro de Implante Anticipado en el semestre (antes de los 5 años)</t>
  </si>
  <si>
    <t>Método de Regulación de Fertilidad más Preservativo</t>
  </si>
  <si>
    <t xml:space="preserve">SECCION A.1: POBLACIÓN EN CONTROL SEGÚN SALUD SEXUAL </t>
  </si>
  <si>
    <t xml:space="preserve">Preservativo/Práctica Sexual segura </t>
  </si>
  <si>
    <t>Lubricantes</t>
  </si>
  <si>
    <t>Gestantes que reciben preservativo</t>
  </si>
  <si>
    <t xml:space="preserve">SECCION B: GESTANTES EN CONTROL CON EVALUACIÓN RIESGO BIOPSICOSOCIAL </t>
  </si>
  <si>
    <t>GRUPOS DE EDAD</t>
  </si>
  <si>
    <t>Migrantes</t>
  </si>
  <si>
    <t>Menos de 15 años</t>
  </si>
  <si>
    <t>SECCION C: GESTANTES EN RIESGO PSICOSOCIAL CON VISITA DOMICILIARIA INTEGRAL REALIZADA EN EL SEMESTRE</t>
  </si>
  <si>
    <t>N° VDI</t>
  </si>
  <si>
    <t>N° Gestantes 
con VDI</t>
  </si>
  <si>
    <t>TOTAL de Visitas</t>
  </si>
  <si>
    <t>N° Gestantes 3 ó más riesgos con VDI</t>
  </si>
  <si>
    <t>1 Visita</t>
  </si>
  <si>
    <t>2 Visitas</t>
  </si>
  <si>
    <t>3 Visitas</t>
  </si>
  <si>
    <t>4 y más Visitas</t>
  </si>
  <si>
    <t>SECCION D: GESTANTES Y PERSONAS DE 8° MES POST-PARTO EN CONTROL, SEGÚN ESTADO NUTRICIONAL</t>
  </si>
  <si>
    <t>POBLACIÓN</t>
  </si>
  <si>
    <t>ESTADO
NUTRICIONAL</t>
  </si>
  <si>
    <t>Menos 15 años</t>
  </si>
  <si>
    <t>Gestantes en Control 
(Información a la fecha de corte)</t>
  </si>
  <si>
    <t>Normal</t>
  </si>
  <si>
    <t>Control al 8º mes Post-Parto 
(Información del semestre)</t>
  </si>
  <si>
    <t xml:space="preserve">SECCION E: GESTANTES Y PERSONAS EN CONTROL CON CONSULTA NUTRICIONAL </t>
  </si>
  <si>
    <t>MUJERES</t>
  </si>
  <si>
    <t>Gestantes con malnutrición por déficit (bajo peso)</t>
  </si>
  <si>
    <t>Gestantes con malnutrición por exceso - Obesa</t>
  </si>
  <si>
    <t>Gestantes con malnutrición por exceso - Sobrepeso</t>
  </si>
  <si>
    <t>En 3º mes post parto</t>
  </si>
  <si>
    <t>En 6º mes post parto</t>
  </si>
  <si>
    <t xml:space="preserve">SECCION F: MUJERES EN CONTROL DE CLIMATERIO </t>
  </si>
  <si>
    <t>Menor de 45 años</t>
  </si>
  <si>
    <t>45 a 64 años</t>
  </si>
  <si>
    <t>Población en Control</t>
  </si>
  <si>
    <t>Mujeres con pauta aplicada MRS*</t>
  </si>
  <si>
    <t>Mujeres con MRS al ingreso</t>
  </si>
  <si>
    <t>Mujeres con MRS elevado*</t>
  </si>
  <si>
    <t>Mujeres con aplicación de terapia hormonal de la menopausia según MRS*</t>
  </si>
  <si>
    <t>Mujeres que asisten a Talleres Educativos</t>
  </si>
  <si>
    <t>* MRS: Menopause Rating Scale</t>
  </si>
  <si>
    <t>SECCION F.1: POBLACIÓN EN CONTROL CLIMATERIO SEGÚN TIPO DE TERAPIA HORMONAL DE LA MENOPAUSIA</t>
  </si>
  <si>
    <t>Menor 
de 45 años</t>
  </si>
  <si>
    <t>55 a 60 años</t>
  </si>
  <si>
    <t>Estradiol Gel</t>
  </si>
  <si>
    <t>Terapia Dual</t>
  </si>
  <si>
    <t>SECCION G: GESTANTES EN CONTROL CON ECOGRAFÍA POR TRIMESTRE DE GESTACION (EN EL SEMESTRE)</t>
  </si>
  <si>
    <t>Primer trimestre</t>
  </si>
  <si>
    <t>Segundo trimestre 22-24 semanas</t>
  </si>
  <si>
    <t>Tercer trimestre 30-34 semanas</t>
  </si>
  <si>
    <t>&lt;11 semanas</t>
  </si>
  <si>
    <t>11- 13+6 semanas</t>
  </si>
  <si>
    <t>Menor de 15</t>
  </si>
  <si>
    <t xml:space="preserve">15 - 19 </t>
  </si>
  <si>
    <t>20 - 24</t>
  </si>
  <si>
    <t>25 - 29</t>
  </si>
  <si>
    <t>30 - 34</t>
  </si>
  <si>
    <t>35 - 39</t>
  </si>
  <si>
    <t>40 - 44</t>
  </si>
  <si>
    <t>45 - 49</t>
  </si>
  <si>
    <t>50 - 54</t>
  </si>
  <si>
    <t xml:space="preserve"> Gestantes con Ecografías del extrasistema</t>
  </si>
  <si>
    <t xml:space="preserve">SECCION H: MUJERES O PESONAS BAJO CONTROL DE REGULACIÓN DE FERTILIDAD SEGÚN ESTADO NUTRICIONAL </t>
  </si>
  <si>
    <t xml:space="preserve">Mujeres o Personas bajo control de Regulación de Fertilidad según estado nuricional </t>
  </si>
  <si>
    <t>SECCION I: GESTANTES EN CONTROL CON TEST DE VIH/SIFILIS TOMADO (EN EL SEMESTRE, RED PÚBLICA O EXTRASISTEMA)</t>
  </si>
  <si>
    <t>Gestantes en control con resultado 1° VIH</t>
  </si>
  <si>
    <t>Total Gestantes en Control &gt;34 SEM</t>
  </si>
  <si>
    <t>Gestantes en control con resultado 2° VIH</t>
  </si>
  <si>
    <t>Gestantes con Tamizajes resultado pendiente</t>
  </si>
  <si>
    <t>NIVEL SECUNDARIO</t>
  </si>
  <si>
    <t>SECCIÓN J: POBLACIÓN EN CONTROL POR PATOLOGÍAS DE ALTO RIESGO OBSTÉTRICO</t>
  </si>
  <si>
    <t>PATOLOGÍA</t>
  </si>
  <si>
    <t xml:space="preserve">Preeclampsia (PE) </t>
  </si>
  <si>
    <t>Sindrome Hipertensivo del Embarazo (SHE)</t>
  </si>
  <si>
    <t>Factores de riesgo y condicionantes de Parto Prematuro</t>
  </si>
  <si>
    <t>Retardo Crecimiento Intrauterino (RCIU)</t>
  </si>
  <si>
    <t>Sífilis</t>
  </si>
  <si>
    <t>VIH</t>
  </si>
  <si>
    <t>Diabetes Pre Gestacional</t>
  </si>
  <si>
    <t>Diabetes Gestacional</t>
  </si>
  <si>
    <t>Cesárea anterior</t>
  </si>
  <si>
    <t>Malformación Congénita</t>
  </si>
  <si>
    <t>Anemia</t>
  </si>
  <si>
    <t>Cardiopatías</t>
  </si>
  <si>
    <t>Pielonefritis</t>
  </si>
  <si>
    <t>Rh(-) sensibilizada</t>
  </si>
  <si>
    <t>Placenta previa</t>
  </si>
  <si>
    <t>Chagas</t>
  </si>
  <si>
    <t>Colestasia Intrahépatica de Embarazo</t>
  </si>
  <si>
    <t>Otras patologías del embarazo</t>
  </si>
  <si>
    <t>datos</t>
  </si>
  <si>
    <t>errores</t>
  </si>
  <si>
    <t>CONDON FEMENINO</t>
  </si>
  <si>
    <t>TOTAL DE GESTANTES EN CONTROL</t>
  </si>
  <si>
    <t>EN RIESGO 
PSICO-
SOCIAL</t>
  </si>
  <si>
    <t>QUE PRESENTAN VIOLENCIA DE GÉNERO</t>
  </si>
  <si>
    <t>GESTANTES QUE PRESENTAN ARO</t>
  </si>
  <si>
    <t>MIGRANTES</t>
  </si>
  <si>
    <t>OBESA</t>
  </si>
  <si>
    <t>SOBREPESO</t>
  </si>
  <si>
    <t>NORMAL</t>
  </si>
  <si>
    <t>BAJO PESO</t>
  </si>
  <si>
    <t>Estradiol Micronizado 1mg</t>
  </si>
  <si>
    <t>Progesterona Micronizada 100mg</t>
  </si>
  <si>
    <t>Progesterona Micronizada 200mg</t>
  </si>
  <si>
    <t>Nomegestrol 5mg comp.</t>
  </si>
  <si>
    <t>Tibolona 2,5mg comp.</t>
  </si>
  <si>
    <t>Total Gestantes Bajo Control</t>
  </si>
  <si>
    <t xml:space="preserve">REM-P2. POBLACIÓN EN CONTROL PROGRAMA NACIONAL  DE SALUD DE LA INFANCIA </t>
  </si>
  <si>
    <t>SECCION A: POBLACIÓN EN CONTROL, SEGÚN ESTADO NUTRICIONAL PARA NIÑOS MENOR DE UN MES- 59 MESES</t>
  </si>
  <si>
    <t>INDICADOR NUTRICIONAL
Y
PARÁMETROS DE MEDICIÓN</t>
  </si>
  <si>
    <t>GRUPOS DE EDAD (en meses) Y SEXO</t>
  </si>
  <si>
    <t>Menor de 1 mes</t>
  </si>
  <si>
    <t>1 mes</t>
  </si>
  <si>
    <t>2 meses</t>
  </si>
  <si>
    <t>3 meses</t>
  </si>
  <si>
    <t>4 meses</t>
  </si>
  <si>
    <t>5 meses</t>
  </si>
  <si>
    <t>6 meses</t>
  </si>
  <si>
    <t>7 a 11 meses</t>
  </si>
  <si>
    <t>12 a 17 meses</t>
  </si>
  <si>
    <t>18 a 23 meses</t>
  </si>
  <si>
    <t>24 a 35 meses</t>
  </si>
  <si>
    <t>36 a 41 meses</t>
  </si>
  <si>
    <t>42 a 47 meses</t>
  </si>
  <si>
    <t>48 a 59 meses</t>
  </si>
  <si>
    <t>Ambos sexos</t>
  </si>
  <si>
    <t>Mujeres</t>
  </si>
  <si>
    <t>TOTAL DE NIÑOS/AS EN CONTROL</t>
  </si>
  <si>
    <t>INDICADOR PESO/EDAD</t>
  </si>
  <si>
    <t>+ 2 D.S. (&gt;= +2.0)</t>
  </si>
  <si>
    <t>+ 1 D.S. (+1.0 a +1.9)</t>
  </si>
  <si>
    <t>- 1 D.S. (-1.0 a -1.9)</t>
  </si>
  <si>
    <t>- 2 D.S. (&lt;= -2.0)</t>
  </si>
  <si>
    <t>INDICADOR PESO/TALLA</t>
  </si>
  <si>
    <t>INDICADOR TALLA/EDAD</t>
  </si>
  <si>
    <t>PROMEDIO (-0,9 A + 0,9)</t>
  </si>
  <si>
    <t>DIAGNOSTICO NUTRICIONAL INTEGRADO</t>
  </si>
  <si>
    <t>RIESGO DE DESNUTRIR/ DEFICIT PONDERAL*</t>
  </si>
  <si>
    <t>DESNUTRIDO</t>
  </si>
  <si>
    <t>SOBREPESO / RIESGO OBESIDAD</t>
  </si>
  <si>
    <t>OBESO</t>
  </si>
  <si>
    <t>SUBTOTAL</t>
  </si>
  <si>
    <t>DESNUTRICIÓN 
SECUNDARIA</t>
  </si>
  <si>
    <t>NIÑOS SIN EVALUACIÓN NUTRICIONAL POR CURSO DE VIDA (RECIÉN NACIDOS) O POR CONDICIÓN ESPECIAL DE SALUD</t>
  </si>
  <si>
    <t>GRUPOS DE EDAD (en meses - años) Y SEXO</t>
  </si>
  <si>
    <t>60 a 71 meses</t>
  </si>
  <si>
    <t>6 a 6 años 11 meses</t>
  </si>
  <si>
    <t>7 a 7 años 11 meses</t>
  </si>
  <si>
    <t>8 a 8 años 11 meses</t>
  </si>
  <si>
    <t>9 a 9 años 11 meses</t>
  </si>
  <si>
    <t>TOTAL DE NIÑOS EN CONTROL</t>
  </si>
  <si>
    <t/>
  </si>
  <si>
    <t>INDICADOR IMC / EDAD</t>
  </si>
  <si>
    <t>+ 3 D.S. (&gt;= 3 )</t>
  </si>
  <si>
    <t>+ 2 D.S. (&gt;= +2.0 a +2.9)</t>
  </si>
  <si>
    <t>+ 1 D.S. (&gt;= +1.0 a +1.9)</t>
  </si>
  <si>
    <t>- 1 D.S. (&lt;= -1.0 a -1.9)</t>
  </si>
  <si>
    <t>INDICADOR PERIMETRO DE CINTURA / EDAD</t>
  </si>
  <si>
    <t>NORMAL (&lt;p75)</t>
  </si>
  <si>
    <t>RIESGO DE OBESIDAD ABDOMINAL (75&lt;p&lt;90)</t>
  </si>
  <si>
    <t>OBESIDAD ABDOMINAL (&gt;p90)</t>
  </si>
  <si>
    <t>OBESO SEVERO</t>
  </si>
  <si>
    <t>T O T A L</t>
  </si>
  <si>
    <t>NOTA(*): El Diagnóstico Nutricional Integrado de Déficit para los niños (as) 5 años y más denomina Déficit Ponderal al Riesgo de Desnutrir.</t>
  </si>
  <si>
    <t>SECCION B: POBLACION EN CONTROL SEGÚN RESULTADO DE EVALUACIÓN DEL DESARROLLO PSICOMOTOR</t>
  </si>
  <si>
    <t>RESULTADO Y
GRUPOS DE EDAD</t>
  </si>
  <si>
    <t>Menor de 12 meses</t>
  </si>
  <si>
    <t>NORMAL CON REZAGO</t>
  </si>
  <si>
    <t>RIESGO</t>
  </si>
  <si>
    <t>RETRASO</t>
  </si>
  <si>
    <t xml:space="preserve">SECCION C: POBLACIÓN MENOR DE 1 AÑO EN CONTROL, SEGÚN SCORE RIESGO EN IRA Y VISITA DOMICILIARIA INTEGRAL </t>
  </si>
  <si>
    <t>RESULTADO</t>
  </si>
  <si>
    <t>Diada, menor de 10 días</t>
  </si>
  <si>
    <t>7 a 12 meses</t>
  </si>
  <si>
    <t>Total de Niños y Niñas que han recibido VDI</t>
  </si>
  <si>
    <t>SCORE 
DE RIESGO</t>
  </si>
  <si>
    <t>LEVE</t>
  </si>
  <si>
    <t>MODERADO</t>
  </si>
  <si>
    <t>GRAVE</t>
  </si>
  <si>
    <t>SECCION D: POBLACIÓN EN CONTROL EN EL SEMESTRE CON CONSULTA NUTRICIONAL, SEGÚN ESTRATEGIA</t>
  </si>
  <si>
    <t>NIÑO/A CON CONSULTA NUTRICIONAL EN</t>
  </si>
  <si>
    <t>Del 5to mes</t>
  </si>
  <si>
    <t>De los 3 años y 6 meses</t>
  </si>
  <si>
    <t>SECCION E: POBLACIÓN INASISTENTE A CONTROL DEL NIÑO SANO (AL CORTE)</t>
  </si>
  <si>
    <t>EDAD</t>
  </si>
  <si>
    <t>0 - 11 meses</t>
  </si>
  <si>
    <t>12 - 24 meses</t>
  </si>
  <si>
    <t>25 - 35 meses</t>
  </si>
  <si>
    <t>36 - 59 meses</t>
  </si>
  <si>
    <t>60 meses - 9 años</t>
  </si>
  <si>
    <t>SECCION F: POBLACIÓN INFANTIL SEGÚN DIAGNÓSTICO DE PRESIÓN ARTERIAL (Incluida en sección A y A1)</t>
  </si>
  <si>
    <t>CLASIFICACIÓN</t>
  </si>
  <si>
    <t>GRUPOS DE EDAD (en meses)</t>
  </si>
  <si>
    <t>Derivación Nivel Secundario</t>
  </si>
  <si>
    <t>36 a 47 meses</t>
  </si>
  <si>
    <t>48 a 71 meses</t>
  </si>
  <si>
    <t>6-9 años</t>
  </si>
  <si>
    <t>NORMAL (PA menor al percentil 90)</t>
  </si>
  <si>
    <t>PRESIÓN ARTERIAL ELEVADA</t>
  </si>
  <si>
    <t xml:space="preserve">HTA ESTADIO I </t>
  </si>
  <si>
    <t>HTA ESTADIO II</t>
  </si>
  <si>
    <t>SECCION G: POBLACIÓN INFANTIL EUTRÓFICA, SEGÚN RIESGO DE MALNUTRICIÓN POR EXCESO (Incluida en sección A y A1)</t>
  </si>
  <si>
    <t>4 a 11 meses</t>
  </si>
  <si>
    <t>12 a 23 meses</t>
  </si>
  <si>
    <t>SIN RIESGO</t>
  </si>
  <si>
    <t>CON RIESGO</t>
  </si>
  <si>
    <t>SECCION H: POBLACIÓN SEGÚN DIAGNÓSTICO DE NIÑOS, NIÑAS Y ADOLESCENTES CON NECESIDADES ESPECIALES DE ATENCIÓN EN SALUD (NANEAS) (Incluida en sección A y A1)</t>
  </si>
  <si>
    <t>DIAGNOSTICOS</t>
  </si>
  <si>
    <t>Población Migrantes</t>
  </si>
  <si>
    <t>6 a 7 años</t>
  </si>
  <si>
    <t>8 a 9 años</t>
  </si>
  <si>
    <t>10 a 14 años</t>
  </si>
  <si>
    <t>TOTAL POBLACIÓN NANEAS BAJO CONTROL</t>
  </si>
  <si>
    <t>Síndrome de Down </t>
  </si>
  <si>
    <t>Trastorno del Espectro Autista </t>
  </si>
  <si>
    <t xml:space="preserve">Síndrome de Rett </t>
  </si>
  <si>
    <t xml:space="preserve">Parálisis Cerebral </t>
  </si>
  <si>
    <t xml:space="preserve">Epilepsia </t>
  </si>
  <si>
    <t xml:space="preserve">Otros trastornos del Neurodesarrollo (no incluye TEA) </t>
  </si>
  <si>
    <t xml:space="preserve">Hipertensión Arterial </t>
  </si>
  <si>
    <t>Hipertensión Arterial (En vez de Presión Arterial Elevada) </t>
  </si>
  <si>
    <t xml:space="preserve">Enfermedad renal crónica </t>
  </si>
  <si>
    <t>Otras Enfermedades cardiovasculares crónicas (no incluye Hipertensión Arterial ni Cardiopatías Congénitas)</t>
  </si>
  <si>
    <t>Enfermedades gastrointestinales crónicas (no incluye enfermedad celiaca)</t>
  </si>
  <si>
    <t>Enfermedades crónicas del sistema visual (no incluye estrabismo ni errores de refracción)</t>
  </si>
  <si>
    <t>Enfermedades crónicas del oído </t>
  </si>
  <si>
    <t>Enfermedades crónicas de piel y mucosas </t>
  </si>
  <si>
    <t xml:space="preserve">Neoplasias  </t>
  </si>
  <si>
    <t>Malformaciones congénitas y deformidades</t>
  </si>
  <si>
    <t xml:space="preserve">Trastornos genéticos  </t>
  </si>
  <si>
    <t>Prematuros</t>
  </si>
  <si>
    <t xml:space="preserve">Enfermedades hematológicas crónicas </t>
  </si>
  <si>
    <t xml:space="preserve">Enfermedades musculoesqueléticas crónicas </t>
  </si>
  <si>
    <t xml:space="preserve">Enfermedades del sistema inmunitario (no incluye asma, ni alergias alimentarias) </t>
  </si>
  <si>
    <t>Alergias alimentarias</t>
  </si>
  <si>
    <t xml:space="preserve">Otras Enfermedades endocrinológicas (no incluye Hipotiroidismo, ni Diabetes) </t>
  </si>
  <si>
    <t xml:space="preserve">Hipotiroidismo </t>
  </si>
  <si>
    <t>Diabetes tipo I </t>
  </si>
  <si>
    <t>Diabetes tipo II </t>
  </si>
  <si>
    <t xml:space="preserve">Otros Trastornos del metabolismo </t>
  </si>
  <si>
    <t xml:space="preserve">Otras Enfermedades respiratorias crónicas (no incluye Asma, ni Fibrosis Quística) </t>
  </si>
  <si>
    <t xml:space="preserve">Fibrosis Quística </t>
  </si>
  <si>
    <t xml:space="preserve">Otras condiciones asociadas a NANEAS </t>
  </si>
  <si>
    <t xml:space="preserve">Hospitalización Domiciliaria  </t>
  </si>
  <si>
    <t>Oxigenoterapia Ambulatoria </t>
  </si>
  <si>
    <t>Asistencia ventilatoria Invasiva y No invasiva </t>
  </si>
  <si>
    <t>Errores Innatos del Metabolismo</t>
  </si>
  <si>
    <t>Asma</t>
  </si>
  <si>
    <t>Cardiopatía congénita</t>
  </si>
  <si>
    <t xml:space="preserve">Enfermedad celiaca </t>
  </si>
  <si>
    <t xml:space="preserve">Estrabismo </t>
  </si>
  <si>
    <t>Errores de refracción</t>
  </si>
  <si>
    <t>Disrrafias espinales</t>
  </si>
  <si>
    <t>Disrafias espinales</t>
  </si>
  <si>
    <t>Escoliosis</t>
  </si>
  <si>
    <t>Displasia luxante de caderas</t>
  </si>
  <si>
    <t>Cuidados paliativos</t>
  </si>
  <si>
    <t>Gran Quemado</t>
  </si>
  <si>
    <t>SECCION I: POBLACIÓN SEGÚN NIVEL DE COMPLEJIDAD DE NIÑOS, NIÑAS Y ADOLESCENTES CON NECESIDADES ESPECIALES DE ATENCIÓN EN SALUD (NANEAS) (Incluida en sección A y A1)</t>
  </si>
  <si>
    <t>NIVELES DE COMPLEJIDAD</t>
  </si>
  <si>
    <t>BAJA COMPLEJIDAD</t>
  </si>
  <si>
    <t>MEDIANA COMPLEJIDAD</t>
  </si>
  <si>
    <t>ALTA COMPLEJIDAD</t>
  </si>
  <si>
    <t>SECCION J: POBLACIÓN EN CONTROL, SEGÚN RIESGO ODONTOLÓGICO Y DAÑO POR CARIES</t>
  </si>
  <si>
    <t>INDICADOR ODONTOLÓGICO
Y
PARÁMETROS DE MEDICIÓN</t>
  </si>
  <si>
    <t>GRUPOS DE EDAD  Y SEXO</t>
  </si>
  <si>
    <t>Usuarios con Discapacidad</t>
  </si>
  <si>
    <t>&lt; 1 AÑO</t>
  </si>
  <si>
    <t>1 AÑO</t>
  </si>
  <si>
    <t>2 AÑOS</t>
  </si>
  <si>
    <t>3 AÑOS</t>
  </si>
  <si>
    <t>4 AÑOS</t>
  </si>
  <si>
    <t>5 AÑOS</t>
  </si>
  <si>
    <t>6 AÑOS</t>
  </si>
  <si>
    <t>7 AÑOS</t>
  </si>
  <si>
    <t>8 AÑOS</t>
  </si>
  <si>
    <t xml:space="preserve">9 AÑOS </t>
  </si>
  <si>
    <t>TOTAL DE NIÑOS(AS) EN CONTROL CON ENFOQUE DE RIESGO ODONTOLÓGICO</t>
  </si>
  <si>
    <t>EVALUACIÓN DE RIESGO SEGÚN PAUTA CERO</t>
  </si>
  <si>
    <t xml:space="preserve">ALTO RIESGO </t>
  </si>
  <si>
    <t xml:space="preserve">BAJO RIESGO </t>
  </si>
  <si>
    <t xml:space="preserve">TOTAL </t>
  </si>
  <si>
    <t>EVALUACIÓN DE DAÑO POR CARIES SEGÚN ÍNDICE ceod O COPD</t>
  </si>
  <si>
    <t>1 a 2</t>
  </si>
  <si>
    <t>3 a 4</t>
  </si>
  <si>
    <t>5 a 6</t>
  </si>
  <si>
    <t>7 a 8</t>
  </si>
  <si>
    <t>9 o más</t>
  </si>
  <si>
    <t>INASISTENTES A CONTROL ODONTOLÓGICO</t>
  </si>
  <si>
    <t>SECCION A.1: POBLACIÓN EN CONTROL, SEGÚN ESTADO NUTRICIONAL PARA NIÑOS AS DE 5ÑOS A 9 AÑOS 11 MESES</t>
  </si>
  <si>
    <t>Niños, Niñas, Adolescentes y Jóvenes Mejor Niñez</t>
  </si>
  <si>
    <t>TOTAL POBLACIÓN NANES BAJO CONTROL</t>
  </si>
  <si>
    <t>Hipertensión Arterial</t>
  </si>
  <si>
    <t>Otras Enfermedades crónicas neurológicas (No incluye síndrome de Rett, Parálisis Cerebral, Epilepsia, TEA)</t>
  </si>
  <si>
    <r>
      <t xml:space="preserve">Otros trastornos del </t>
    </r>
    <r>
      <rPr>
        <b/>
        <sz val="11"/>
        <color theme="1"/>
        <rFont val="Calibri"/>
        <family val="2"/>
      </rPr>
      <t>Neurodesarrollo  </t>
    </r>
    <r>
      <rPr>
        <sz val="11"/>
        <color theme="1"/>
        <rFont val="Calibri"/>
        <family val="2"/>
      </rPr>
      <t>( no incluye TEA)</t>
    </r>
  </si>
  <si>
    <r>
      <t xml:space="preserve">Enfermedades crónicas gastrointestinales </t>
    </r>
    <r>
      <rPr>
        <sz val="11"/>
        <color theme="1"/>
        <rFont val="Calibri"/>
        <family val="2"/>
      </rPr>
      <t>(no incluye enfermedad celiaca)</t>
    </r>
  </si>
  <si>
    <r>
      <t xml:space="preserve">Enfermedades crónicas del sistema visual </t>
    </r>
    <r>
      <rPr>
        <sz val="11"/>
        <color theme="1"/>
        <rFont val="Calibri"/>
        <family val="2"/>
      </rPr>
      <t>(no incluye Estabismo ni Errores de Refracción)</t>
    </r>
  </si>
  <si>
    <r>
      <t xml:space="preserve">Otras Enfermedades crónicas neurológicas </t>
    </r>
    <r>
      <rPr>
        <sz val="11"/>
        <color theme="1"/>
        <rFont val="Calibri"/>
        <family val="2"/>
      </rPr>
      <t>(No incluye síndrome de Rett, Parálisis Cerebral, Epiepsia, TEA)</t>
    </r>
  </si>
  <si>
    <t>REM-P3. POBLACIÓN EN CONTROL OTROS PROGRAMAS</t>
  </si>
  <si>
    <t>SECCIÓN A: EXISTENCIA DE POBLACIÓN EN CONTROL</t>
  </si>
  <si>
    <t>PROGRAMAS</t>
  </si>
  <si>
    <t>RANGO ETARIO Y SEXO</t>
  </si>
  <si>
    <t>Con espirometría vigente</t>
  </si>
  <si>
    <t>0 a 4 años</t>
  </si>
  <si>
    <t>5 a 9 años</t>
  </si>
  <si>
    <t>70 a 74 años</t>
  </si>
  <si>
    <t>75 a 79 años</t>
  </si>
  <si>
    <t>80 y más años</t>
  </si>
  <si>
    <t>Ambos
sexos</t>
  </si>
  <si>
    <t xml:space="preserve">Hombres </t>
  </si>
  <si>
    <t>Síndrome Bronquial Obstructiva Recurrente (SBOR)</t>
  </si>
  <si>
    <t>Leve</t>
  </si>
  <si>
    <t>Moderado</t>
  </si>
  <si>
    <t>Severo</t>
  </si>
  <si>
    <t>Asma Bronquial</t>
  </si>
  <si>
    <t>Enfermedad Pulmonar Obstructiva Crónica (EPOC)</t>
  </si>
  <si>
    <t>Tipo A</t>
  </si>
  <si>
    <t>Tipo B</t>
  </si>
  <si>
    <t>Otras Respiratorias Crónicas</t>
  </si>
  <si>
    <t>Oxigeno Dependiente</t>
  </si>
  <si>
    <t xml:space="preserve">Asistencia Ventilatoria No Invasiva o Invasiva </t>
  </si>
  <si>
    <t>Autismo</t>
  </si>
  <si>
    <t>Autismo Atípico</t>
  </si>
  <si>
    <t>Asperger</t>
  </si>
  <si>
    <t>Glaucoma</t>
  </si>
  <si>
    <t xml:space="preserve">Enfermedad de Parkinson </t>
  </si>
  <si>
    <t xml:space="preserve">Artrosis de Cadera Y Rodilla </t>
  </si>
  <si>
    <t>Alivio del Dolor</t>
  </si>
  <si>
    <t>Hipotiroidismo</t>
  </si>
  <si>
    <t>Dependencia Leve</t>
  </si>
  <si>
    <t>Dependencia Moderada</t>
  </si>
  <si>
    <t>Dependencia severa</t>
  </si>
  <si>
    <t>Oncológica</t>
  </si>
  <si>
    <t>No Oncológica</t>
  </si>
  <si>
    <t>Total personas con lesión por presión*</t>
  </si>
  <si>
    <t>Atención domiciliaria por dependencia severa</t>
  </si>
  <si>
    <t>Total personas</t>
  </si>
  <si>
    <t>Con Demencia</t>
  </si>
  <si>
    <t>Institucionalizada</t>
  </si>
  <si>
    <t>Con indicación de nutrición enteral domiciliaria (NED)</t>
  </si>
  <si>
    <t>Cuidados Paliativos Universales</t>
  </si>
  <si>
    <t>Cuidados Paliativos Oncológico Progresivo</t>
  </si>
  <si>
    <t>Cuidados Paliativos Oncológico No Progresivo</t>
  </si>
  <si>
    <t>Cuidados Paliativos No Oncológico</t>
  </si>
  <si>
    <t>(*) Incluidos en Dependencia Severa Oncológica y NO Oncológica</t>
  </si>
  <si>
    <t>SECCION B: CUIDADORES DE PACIENTES CON DEPENDENCIA SEVERA</t>
  </si>
  <si>
    <t>CONCEPTO</t>
  </si>
  <si>
    <t>ATENCIÓN DOMICILIARIA POR DEPENDENCIA SEVERA</t>
  </si>
  <si>
    <t>Total Cuidadoras/es capacitadas/dos</t>
  </si>
  <si>
    <t>Total cuidadoras/es con examen preventivo vigente</t>
  </si>
  <si>
    <t>Total Cuidadores con condiciones crónicas en control en centro de salud</t>
  </si>
  <si>
    <t>Cuidadoras/es con apoyo monetario</t>
  </si>
  <si>
    <t>Cuidadoras/es en espera de apoyo monetario</t>
  </si>
  <si>
    <t>Total Cuidadoras/es con evaluacion de sobrecarga vigente</t>
  </si>
  <si>
    <t>Total Cuidadoras/es mayores de 65 años</t>
  </si>
  <si>
    <t>Total Cuidadoras/es atendidas por ECICEP</t>
  </si>
  <si>
    <t>Total Cuidadoras/es en Programas de Apoyo Intersectoriales</t>
  </si>
  <si>
    <t>Total Cuidadoras/es con Atención Preferente en Centro de Salud</t>
  </si>
  <si>
    <t>Número de cuidadores</t>
  </si>
  <si>
    <t>SECCION C: POBLACIÓN EN CONTROL EN PROGRAMA DE REHABILITACIÓN PULMONAR EN SALA IRA-ERA</t>
  </si>
  <si>
    <t>PROGRAMA</t>
  </si>
  <si>
    <t>Rehabilitación Pulmonar</t>
  </si>
  <si>
    <t>Ingresos</t>
  </si>
  <si>
    <t>Abandonos</t>
  </si>
  <si>
    <t>Egresos por termino de ciclo</t>
  </si>
  <si>
    <t>Articulacion continuidad en intersector</t>
  </si>
  <si>
    <t>SECCION D: NIVEL DE CONTROL DE POBLACION RESPIRATORIA CRONICA</t>
  </si>
  <si>
    <t>RANGO ETARIO  Y SEXO</t>
  </si>
  <si>
    <t>Controlado</t>
  </si>
  <si>
    <t>Parcialmente Controlado</t>
  </si>
  <si>
    <t>No Controlado</t>
  </si>
  <si>
    <t>No evaluada</t>
  </si>
  <si>
    <t>Logra Control Adecuado</t>
  </si>
  <si>
    <t>No Logra Control Adecuado</t>
  </si>
  <si>
    <t>SECCIÓN E:  RESULTADO DE ENCUESTA CALIDAD DE VIDA</t>
  </si>
  <si>
    <t>DIAGNÓSTICO</t>
  </si>
  <si>
    <t>ACTIVIDAD</t>
  </si>
  <si>
    <t>5 - 9 
años</t>
  </si>
  <si>
    <t>10 - 14
años</t>
  </si>
  <si>
    <t>15 - 19
años</t>
  </si>
  <si>
    <t xml:space="preserve">20 a 24 años
</t>
  </si>
  <si>
    <t>40 - 44 años</t>
  </si>
  <si>
    <t>45 - 49 años</t>
  </si>
  <si>
    <t>50 - 54 años</t>
  </si>
  <si>
    <t>55 - 59 años</t>
  </si>
  <si>
    <t>60 - 64 años</t>
  </si>
  <si>
    <t>65 - 69 años</t>
  </si>
  <si>
    <t>70 - 74 años</t>
  </si>
  <si>
    <t>75 - 79 años</t>
  </si>
  <si>
    <t>80 y mas años</t>
  </si>
  <si>
    <t>Ambos Sexos</t>
  </si>
  <si>
    <t>Evaluados</t>
  </si>
  <si>
    <t>Mejora en relación a  año anterior</t>
  </si>
  <si>
    <t>No mejora en relación a año anterior</t>
  </si>
  <si>
    <t>Otras crónicas respiratorias</t>
  </si>
  <si>
    <t>Mejora en relación a año anterior</t>
  </si>
  <si>
    <t>COMUNA: ()</t>
  </si>
  <si>
    <t>ESTABLECIMIENTO/ESTRATEGIA: ()</t>
  </si>
  <si>
    <t>MES: ()</t>
  </si>
  <si>
    <t xml:space="preserve">AÑO: 2025 </t>
  </si>
  <si>
    <t>REM-P4. POBLACIÓN EN CONTROL PROGRAMA DE SALUD CARDIOVASCULAR (PSCV)</t>
  </si>
  <si>
    <t>SECCIÓN A: PROGRAMA SALUD CARDIOVASCULAR (PSCV)</t>
  </si>
  <si>
    <t>NUMERO DE PERSONAS EN PSCV</t>
  </si>
  <si>
    <t>Clasificación del
Riesgo
Cardiovascular</t>
  </si>
  <si>
    <t>Bajo</t>
  </si>
  <si>
    <t>Ato</t>
  </si>
  <si>
    <t>Personas bajo control según patología y factores de riesgo (existencia)</t>
  </si>
  <si>
    <t xml:space="preserve">Diabetes Mellitus tipo 2 </t>
  </si>
  <si>
    <t xml:space="preserve">Dislipidemia </t>
  </si>
  <si>
    <t xml:space="preserve">Tabaquismo ≥ 55 años </t>
  </si>
  <si>
    <t>Antecedentes de Infarto Agudo al Miocardio (IAM)</t>
  </si>
  <si>
    <t>Antecedentes de Ataque Cerebro Vascular (ACV)</t>
  </si>
  <si>
    <t>Antecedentes de otras Enfermedades Cardiovasculares ECV (excepto IAM y ACV)</t>
  </si>
  <si>
    <t>Enfermedad renal crónica (etapas 1 a 5)</t>
  </si>
  <si>
    <t>SECCIÓN B: METAS DE COMPENSACIÓN</t>
  </si>
  <si>
    <t xml:space="preserve">Personas Bajo Control por Hipertensión </t>
  </si>
  <si>
    <t xml:space="preserve">PA &lt; 140/90 mmHg </t>
  </si>
  <si>
    <t xml:space="preserve">PA &lt; 150/90 mmHg </t>
  </si>
  <si>
    <t xml:space="preserve">Personas Bajo Control por Diabetes Mellitus </t>
  </si>
  <si>
    <t xml:space="preserve">HbA1C&lt;7% </t>
  </si>
  <si>
    <t>HbA1C&lt;8%</t>
  </si>
  <si>
    <t>HbA1C&lt;7% - PA &lt; 140/90mmHg y Colesterol LDL &lt; 100 mg/dl</t>
  </si>
  <si>
    <t xml:space="preserve">Personas con RCV alto </t>
  </si>
  <si>
    <t>Colesterol LDL &lt; 70 mg/dL</t>
  </si>
  <si>
    <t>Personas bajo control con antecedentes enfermedad cardiovascular (ECV)</t>
  </si>
  <si>
    <t>En tratamiento con Antiagregantes plaquetarios</t>
  </si>
  <si>
    <t>En tratamiento con Estatina</t>
  </si>
  <si>
    <t>Fumador actual</t>
  </si>
  <si>
    <t>Personas bajo control con antecedentes de Infarto agudo al miocardio (IAM)</t>
  </si>
  <si>
    <t>Personas bajo control con Antecedentes de Ataque Cerebrovascular (ACV)</t>
  </si>
  <si>
    <t>SECCIÓN C: VARIABLES DE SEGUIMIENTO DEL PSCV AL CORTE</t>
  </si>
  <si>
    <t>VARIABLES</t>
  </si>
  <si>
    <t>PERSONAS CON DIABETES  EN PSCV</t>
  </si>
  <si>
    <t>Con razón albúmina creatinina (RAC), vigente</t>
  </si>
  <si>
    <t>Con velocidad de filtración glomerular estimada (VFG), vigente</t>
  </si>
  <si>
    <t>Con velocidad de filtración glomerular estimada (VFGE) y con razón albúmina creatinina (RAC) vigente</t>
  </si>
  <si>
    <t>Con fondo de ojo, vigente</t>
  </si>
  <si>
    <t>Con atención podológica vigente</t>
  </si>
  <si>
    <t>Con ECG vigente</t>
  </si>
  <si>
    <t>En tratamiento con insulina</t>
  </si>
  <si>
    <t>En tratamiento con insulina que logra meta con HBA1C según edad</t>
  </si>
  <si>
    <t>Con HBA1C &gt;= 9 %</t>
  </si>
  <si>
    <t>Con ERC (todas las etapas) y en tratamiento con IECA o ARA II</t>
  </si>
  <si>
    <t>Con un examen de colesterol LDL vigente</t>
  </si>
  <si>
    <t>Con hipoglicemias recurrentes</t>
  </si>
  <si>
    <t>Con *evaluación vigente del pie según pauta de estimación del riesgo de ulceración en personas con diabetes</t>
  </si>
  <si>
    <t>Riesgo bajo</t>
  </si>
  <si>
    <t xml:space="preserve">Riesgo moderado </t>
  </si>
  <si>
    <t>Riesgo alto</t>
  </si>
  <si>
    <t xml:space="preserve">Riesgo máximo </t>
  </si>
  <si>
    <t>Con úlceras activas de pie diabético tratadas con curación</t>
  </si>
  <si>
    <t>Curación Convencional</t>
  </si>
  <si>
    <t>Curación Avanzada</t>
  </si>
  <si>
    <t>Con ayuda técnica de descarga</t>
  </si>
  <si>
    <t>Con diagnóstico asociado de hipertensión arterial</t>
  </si>
  <si>
    <t>Con diagnóstico de enfermedad renal crónica</t>
  </si>
  <si>
    <t>Antecedente de ataque cerebro vascular</t>
  </si>
  <si>
    <t>Antecedentes de infarto agudo al miocardio</t>
  </si>
  <si>
    <t>Retinopatía diabética</t>
  </si>
  <si>
    <t>PERSONAS CON HIPERTENSION EN PSCV</t>
  </si>
  <si>
    <t>Con velocidad de filtración glomerular estimada (VFGE) vigente</t>
  </si>
  <si>
    <t>Con presión arterial igual o mayor 160/100 MMHG</t>
  </si>
  <si>
    <t>Protocolo Hearts</t>
  </si>
  <si>
    <t>TODAS LAS PERSONAS EN PSCV</t>
  </si>
  <si>
    <t>Sobrepeso: IMC entre 25 y 29.9 &lt;65 años</t>
  </si>
  <si>
    <t>Sobrepeso: IMC entre 28 y 31.9 &gt;65 años</t>
  </si>
  <si>
    <t>Obesidad: IMC igual o Mayor a 30KG/M2 &lt;65 años</t>
  </si>
  <si>
    <t>Obesidad: IMC igual o Mayor a 32KG/M2 &gt;65 años</t>
  </si>
  <si>
    <t>Personas en actividad física salud cardiovascular</t>
  </si>
  <si>
    <t>Enfermedad Renal Crónica (ERC)</t>
  </si>
  <si>
    <t>Sin enfermedad renal (S/ERC)</t>
  </si>
  <si>
    <t xml:space="preserve">Etapa  G1 </t>
  </si>
  <si>
    <t xml:space="preserve">Etapa G2 </t>
  </si>
  <si>
    <t>Etapa G3a</t>
  </si>
  <si>
    <t xml:space="preserve">Etapa G3b </t>
  </si>
  <si>
    <t xml:space="preserve">Etapa G4  </t>
  </si>
  <si>
    <t>Etapa G5</t>
  </si>
  <si>
    <t>Desconoce si tiene ERC</t>
  </si>
  <si>
    <t>NOTA (*): La vigencia de la evaluación del pie diabético es de 12 meses.</t>
  </si>
  <si>
    <t xml:space="preserve">Con amputacion por pie diabetico </t>
  </si>
  <si>
    <t xml:space="preserve">REM-P5. POBLACIÓN EN CONTROL PROGRAMA NACIONAL DE SALUD INTEGRAL DE PERSONAS MAYORES </t>
  </si>
  <si>
    <t>SECCION A: POBLACIÓN EN CONTROL POR CONDICIÓN DE FUNCIONALIDAD</t>
  </si>
  <si>
    <t>Personas Mayores en ELEAM</t>
  </si>
  <si>
    <t>CONDICIÓN DE 
FUNCIONALIDAD</t>
  </si>
  <si>
    <t>80 a 84 años</t>
  </si>
  <si>
    <t>85 a 89 años</t>
  </si>
  <si>
    <t>90 a 94 años</t>
  </si>
  <si>
    <t>95 a 99 años</t>
  </si>
  <si>
    <t>100 y más años</t>
  </si>
  <si>
    <t>SUBTOTAL (EFAM)</t>
  </si>
  <si>
    <t>SUBTOTAL (INDICE BARTHEL)</t>
  </si>
  <si>
    <t>TOTAL PERSONAS MAYORES EN CONTROL</t>
  </si>
  <si>
    <t>SECCION A.1: EXISTENCIA DE POBLACIÓN EN CONTROL EN PROGRAMA "MÁS ADULTOS MAYORES AUTOVALENTES" POR CONDICIÓN DE FUNCIONALIDAD</t>
  </si>
  <si>
    <t>TOTAL (EFAM)</t>
  </si>
  <si>
    <t>SECCION B: POBLACIÓN BAJO CONTROL POR ESTADO NUTRICIONAL</t>
  </si>
  <si>
    <t>ESTADO NUTRICIONAL</t>
  </si>
  <si>
    <t>Obeso</t>
  </si>
  <si>
    <t>SECCION C: PERSONAS MAYORES CON SOSPECHA DE MALTRATO</t>
  </si>
  <si>
    <t xml:space="preserve">SECCION D: PERSONAS MAYORES EN ACTIVIDAD FÍSICA </t>
  </si>
  <si>
    <t>SECCION E: PERSONAS MAYORES CON RIESGO DE CAÍDAS</t>
  </si>
  <si>
    <t>INSTRUMENTO DE EVALUACIÓN</t>
  </si>
  <si>
    <t>TIPO DE RIESGO</t>
  </si>
  <si>
    <t>Timed up and go</t>
  </si>
  <si>
    <t>Alto</t>
  </si>
  <si>
    <t>Estación unipodal</t>
  </si>
  <si>
    <t>Alterado</t>
  </si>
  <si>
    <t>AUTOVALENTE SIN RIESGO</t>
  </si>
  <si>
    <t>AUTOVALENTE CON RIESGO</t>
  </si>
  <si>
    <t xml:space="preserve">RIESGO DE DEPENDENCIA </t>
  </si>
  <si>
    <t>DEPENDIENTE LEVE</t>
  </si>
  <si>
    <t xml:space="preserve">DEPENDIENTE MODERADO </t>
  </si>
  <si>
    <t xml:space="preserve">DEPENDIENTE GRAVE </t>
  </si>
  <si>
    <t>DEPENDIENTE TOTAL</t>
  </si>
  <si>
    <t>PERSONAS CON SOSPECHA DE MALTRATO</t>
  </si>
  <si>
    <t xml:space="preserve">PERSONAS EN ACTIVIDAD FÍSICA </t>
  </si>
  <si>
    <t>REM-P6. POBLACIÓN EN CONTROL PROGRAMA DE SALUD MENTAL EN ATENCIÓN PRIMARIA Y ESPECIALIDAD</t>
  </si>
  <si>
    <t>A. ATENCIÓN PRIMARIA</t>
  </si>
  <si>
    <t>SECCION A.1: POBLACIÓN EN CONTROL EN APS AL CORTE</t>
  </si>
  <si>
    <t>Gestantes</t>
  </si>
  <si>
    <t xml:space="preserve">Madre de Hijo menor de 5 años </t>
  </si>
  <si>
    <t>Niños, Niñas, Adolescentes y Jóvenes SENAME</t>
  </si>
  <si>
    <t>Plan Cuidado Integral Elaborado</t>
  </si>
  <si>
    <t>Madre de hijos</t>
  </si>
  <si>
    <t>Pueblos originarios</t>
  </si>
  <si>
    <t>Poblacion Migrantes</t>
  </si>
  <si>
    <t>Niños y niñas SENAME</t>
  </si>
  <si>
    <t>Niños y niñas Mejor Niñez</t>
  </si>
  <si>
    <t>Trans</t>
  </si>
  <si>
    <t>TRANS</t>
  </si>
  <si>
    <t>Masculino</t>
  </si>
  <si>
    <t>Femenino</t>
  </si>
  <si>
    <t>Número de personas en control en el programa</t>
  </si>
  <si>
    <t>FACTORES DE RIESGO Y CONDICIONANTES DE LA SALUD MENTAL</t>
  </si>
  <si>
    <t>Violencia física</t>
  </si>
  <si>
    <t>Victima</t>
  </si>
  <si>
    <t>Agresor/a</t>
  </si>
  <si>
    <t>Violencia sexual</t>
  </si>
  <si>
    <t>Violencia psicologica</t>
  </si>
  <si>
    <t>Abuso sexual</t>
  </si>
  <si>
    <t>Suicidio</t>
  </si>
  <si>
    <t>Ideación</t>
  </si>
  <si>
    <t>Intento</t>
  </si>
  <si>
    <t xml:space="preserve">PERSONAS CON DIAGNOSTICOS DE TRASTORNOS MENTALES </t>
  </si>
  <si>
    <t>Trastornos del humor
(afectivos)</t>
  </si>
  <si>
    <t>Depresión leve</t>
  </si>
  <si>
    <t>Depresión moderada</t>
  </si>
  <si>
    <t>Depresión grave</t>
  </si>
  <si>
    <t>Depresión post parto</t>
  </si>
  <si>
    <t>Trastorno bipolar</t>
  </si>
  <si>
    <t>Trastornos mentales y del comportamiento debido a consumo sustancias psicotrópicas</t>
  </si>
  <si>
    <t xml:space="preserve">Consumo perjudicial de alcohol </t>
  </si>
  <si>
    <t xml:space="preserve">Consumo dependiente del alcohol </t>
  </si>
  <si>
    <t>Consumo perjudicial de drogas</t>
  </si>
  <si>
    <t xml:space="preserve">Consumo dependiente de drogas </t>
  </si>
  <si>
    <t xml:space="preserve">Consumo de drogas y alcohol </t>
  </si>
  <si>
    <t>Trastornos del comportamiento y de las emociones de comienzo habitual en la infancia y adolescencia</t>
  </si>
  <si>
    <t>Trastorno hipercinético</t>
  </si>
  <si>
    <t>Trastorno disocial desafiante y oposicionista</t>
  </si>
  <si>
    <t>Trastorno de ansiedad de separación en la infancia</t>
  </si>
  <si>
    <t>Otros trastornos del comportamiento y de las emociones de comienzo habitual en la infancia y adolescencia</t>
  </si>
  <si>
    <t>Trastornos de ansiedad</t>
  </si>
  <si>
    <t>Trastorno de estrés post traumático</t>
  </si>
  <si>
    <t>Trastorno de pánico</t>
  </si>
  <si>
    <t>Fobias sociales</t>
  </si>
  <si>
    <t>Trastornos de ansiedad generalizada</t>
  </si>
  <si>
    <t>Otros trastornos de ansiedad</t>
  </si>
  <si>
    <t>Demencias (incluye Alzheimer)</t>
  </si>
  <si>
    <t>Avanzado</t>
  </si>
  <si>
    <t>Esquizofrenia</t>
  </si>
  <si>
    <t>Trastorno adaptativo</t>
  </si>
  <si>
    <t>Trastornos de la conducta alimentaria</t>
  </si>
  <si>
    <t>Retraso mental</t>
  </si>
  <si>
    <t>Trastorno de personalidad</t>
  </si>
  <si>
    <t>Trastorno generalizados del desarrollo</t>
  </si>
  <si>
    <t>Síndrome de Rett</t>
  </si>
  <si>
    <t>Trastorno desintegrativo de la infancia</t>
  </si>
  <si>
    <t>Trastorno generalizado del desarrollo no específico</t>
  </si>
  <si>
    <t>Epilepsia</t>
  </si>
  <si>
    <t xml:space="preserve">Otras </t>
  </si>
  <si>
    <t>SECCION A.2: PROGRAMA DE REHABILITACIÓN EN ATENCION PRIMARIA (PERSONAS CON TRANSTORNOS PSIQUIÁTRICO).</t>
  </si>
  <si>
    <t>TIPO</t>
  </si>
  <si>
    <t>RUBRO</t>
  </si>
  <si>
    <t>Programa de rehabilitación tipo I</t>
  </si>
  <si>
    <t>Programa de rehabilitación tipo II</t>
  </si>
  <si>
    <t>SECCION A.3: PROGRAMA DE ACOMPAÑAMIENTO PSICOSOCIAL EN LA ATENCION PRIMARIA</t>
  </si>
  <si>
    <t>B. ATENCION DE ESPECIALIDADES</t>
  </si>
  <si>
    <t>SECCION B.1: POBLACIÓN EN CONTROL EN ESPECIALIDAD AL CORTE</t>
  </si>
  <si>
    <t>NUMERO DE PERSONAS EN CONTROL EN EL PROGRAMA</t>
  </si>
  <si>
    <t>Violencia fisica</t>
  </si>
  <si>
    <t>Violencia psicológica</t>
  </si>
  <si>
    <t>Trastornos del humor</t>
  </si>
  <si>
    <t>Depresión refractaria</t>
  </si>
  <si>
    <t>Depresión grave con psicosis</t>
  </si>
  <si>
    <t>Depresión con alto riesgo suicida</t>
  </si>
  <si>
    <t>Trastornos mentales y del comportamiento debido a consumo sustancias psicotropicas</t>
  </si>
  <si>
    <t>Trastorno de estrés post traumatico</t>
  </si>
  <si>
    <t xml:space="preserve">Trastorno de pánico  </t>
  </si>
  <si>
    <t>Síndrome de rett</t>
  </si>
  <si>
    <t>Trastono generalizado del desarrollo no específico</t>
  </si>
  <si>
    <t>Otras</t>
  </si>
  <si>
    <t>SECCION B.2: PROGRAMA DE REHABILITACIÓN EN ESPECIALIDAD (PERSONAS CON TRANSTORNOS PSIQUIÁTRICO)</t>
  </si>
  <si>
    <t>N° DE PERSONAS EN CONTROL EN PROGRAMA DE ACOMPAÑAMIENTO PSICOSOCIAL</t>
  </si>
  <si>
    <t>NÚMERO DE PERSONAS EN CONTROL EN EL PROGRAMA</t>
  </si>
  <si>
    <t>Niños, Niñas, Adolescentes y Jóvenes  SENAME</t>
  </si>
  <si>
    <t>REM-P7. FAMILIAS EN CONTROL DE SALUD FAMILIAR</t>
  </si>
  <si>
    <t>SECCIÓN A. CLASIFICACIÓN DE LAS FAMILIAS SECTOR URBANO</t>
  </si>
  <si>
    <t>Clasificación de las familias por sector</t>
  </si>
  <si>
    <t>Sector 1</t>
  </si>
  <si>
    <t>Sector 2</t>
  </si>
  <si>
    <t>Sector 3</t>
  </si>
  <si>
    <t>Sector 4</t>
  </si>
  <si>
    <t>Sector 5</t>
  </si>
  <si>
    <t>Sector 6</t>
  </si>
  <si>
    <t>Sector 7</t>
  </si>
  <si>
    <t>Sector 8</t>
  </si>
  <si>
    <t>SECCIÓN A.1 CLASIFICACIÓN DE LAS FAMILIAS SECTOR RURAL</t>
  </si>
  <si>
    <t>SECCIÓN B. INTERVENCIÓN EN FAMILIAS SECTOR URBANO Y RURAL</t>
  </si>
  <si>
    <t>Intervención en familias</t>
  </si>
  <si>
    <t xml:space="preserve">N° FAMILIAS INSCRITAS </t>
  </si>
  <si>
    <t>N° FAMILIAS EVALUADAS CON CARTOLA/ENCUESTA FAMILIAR</t>
  </si>
  <si>
    <t>N° DE FAMILIAS EN RIESGO BAJO</t>
  </si>
  <si>
    <t>N° DE FAMILIAS EN RIESGO MEDIO</t>
  </si>
  <si>
    <t>N° DE FAMILIAS EN RIESGO ALTO</t>
  </si>
  <si>
    <t>N° FAMILIAS CON PLAN DE INTERVENCIÓN</t>
  </si>
  <si>
    <t>N° FAMILIAS SIN PLAN DE INTERVENCIÓN</t>
  </si>
  <si>
    <t>RIESGO BAJO</t>
  </si>
  <si>
    <t>RIESGO MEDIO</t>
  </si>
  <si>
    <t>RIESGO ALTO</t>
  </si>
  <si>
    <t>N° FAMILIAS EGRESADAS DE PLANES DE INTERVENCIÓN</t>
  </si>
  <si>
    <t>TOTAL DE EGRESOS</t>
  </si>
  <si>
    <t>ALTA POR CUMPLIR PLAN DE INTERVENCIÓN</t>
  </si>
  <si>
    <t>TRASLADO DE ESTABLECIMIENTO</t>
  </si>
  <si>
    <t>DERIVACIÓN POR COMPLEJIDAD DEL CASO</t>
  </si>
  <si>
    <t>POR ABANDONO</t>
  </si>
  <si>
    <t>REM-P9. POBLACIÓN EN CONTROL DEL ADOLESCENTE</t>
  </si>
  <si>
    <t xml:space="preserve">SECCION A: POBLACIÓN EN CONTROL DE SALUD INTEGRAL DE ADOLESCENTES </t>
  </si>
  <si>
    <t>Población en control</t>
  </si>
  <si>
    <t xml:space="preserve"> 15 a 19 años</t>
  </si>
  <si>
    <t xml:space="preserve"> Pueblos Originarios</t>
  </si>
  <si>
    <t>No Olvide Hombres</t>
  </si>
  <si>
    <t>No Olvide Mujeres</t>
  </si>
  <si>
    <t>Total adolescentes en control</t>
  </si>
  <si>
    <t>SECCION B: POBLACIÓN EN CONTROL DE SALUD INTEGRAL DE ADOLESCENTES, SEGÚN ESTADO NUTRICIONAL</t>
  </si>
  <si>
    <t>Indicador Nutricional y Parámetros de medición</t>
  </si>
  <si>
    <t xml:space="preserve"> 10 a 14 años</t>
  </si>
  <si>
    <t>Indicador IMC / Edad</t>
  </si>
  <si>
    <r>
      <rPr>
        <u/>
        <sz val="8"/>
        <rFont val="Verdana"/>
        <family val="2"/>
      </rPr>
      <t>&gt;</t>
    </r>
    <r>
      <rPr>
        <sz val="8"/>
        <rFont val="Verdana"/>
        <family val="2"/>
      </rPr>
      <t>+ 3 D.E. (Obesidad Severa)</t>
    </r>
  </si>
  <si>
    <t>≥ +2.0 a+2,9 D.E. (Obesidad)</t>
  </si>
  <si>
    <t xml:space="preserve">≥ +1.0 a+1,9 D.E.(Sobrepeso) </t>
  </si>
  <si>
    <t>≤ -1.0 a-1,9 D.E.(Bajo peso)</t>
  </si>
  <si>
    <t>≤ -2.0 D.E. (Desnutrición)</t>
  </si>
  <si>
    <t xml:space="preserve"> -0.9 a+ 0.9 D.E. (Peso Normal)</t>
  </si>
  <si>
    <t>Indicador Talla/Edad</t>
  </si>
  <si>
    <t>≥+ 2.0 D.E.(Talla Alta)</t>
  </si>
  <si>
    <t>+ 1.0 a+ 1.9 D.E. (Talla Normal Alta)</t>
  </si>
  <si>
    <t>- 1.0 a -1.9 D.E. (Talla Normal Baja)</t>
  </si>
  <si>
    <r>
      <rPr>
        <u/>
        <sz val="8"/>
        <rFont val="Verdana"/>
        <family val="2"/>
      </rPr>
      <t>&lt;</t>
    </r>
    <r>
      <rPr>
        <sz val="8"/>
        <rFont val="Verdana"/>
        <family val="2"/>
      </rPr>
      <t xml:space="preserve"> 2 D.E. (Talla Baja)</t>
    </r>
  </si>
  <si>
    <t>-0.9 a+ 0.9 D.E. (Talla Normal)</t>
  </si>
  <si>
    <t>Rangos percentilares para circunferencia de cintura</t>
  </si>
  <si>
    <t>Normal (p&lt;75)</t>
  </si>
  <si>
    <t>Riesgo de obesidad  (p75&lt;p&lt;90)</t>
  </si>
  <si>
    <t>Diagnostico nutricional integrado</t>
  </si>
  <si>
    <t>Déficit ponderado bajo peso</t>
  </si>
  <si>
    <t>Desnutrido</t>
  </si>
  <si>
    <t>Sobrepeso / riesgo obesidad</t>
  </si>
  <si>
    <t>Obeso severo</t>
  </si>
  <si>
    <t>Normal o eutrofia</t>
  </si>
  <si>
    <t>Subtotal</t>
  </si>
  <si>
    <t>"Desnutrición Secundaria"</t>
  </si>
  <si>
    <t>SECCION C: POBLACIÓN EN CONTROL SALUD INTEGRAL DE ADOLESCENTES, SEGÚN EDUCACIÓN Y TRABAJO</t>
  </si>
  <si>
    <t>Estudio/trabajo</t>
  </si>
  <si>
    <t>10-14 años</t>
  </si>
  <si>
    <t>15 - 19 años</t>
  </si>
  <si>
    <t>Hombre</t>
  </si>
  <si>
    <t>Estudia</t>
  </si>
  <si>
    <t>Deserción escolar</t>
  </si>
  <si>
    <t>Trabajo infantil</t>
  </si>
  <si>
    <t>Trabajo juvenil</t>
  </si>
  <si>
    <t>Peores formas de trabajo infantil</t>
  </si>
  <si>
    <t>Servicio doméstico no remunerado peligroso</t>
  </si>
  <si>
    <t>SECCION D: POBLACIÓN EN CONTROL SALUD INTEGRAL DE ADOLESCENTES, SEGÚN ÁREAS DE RIESGO</t>
  </si>
  <si>
    <t>Aréas de Riesgo</t>
  </si>
  <si>
    <t>Riesgo SSR</t>
  </si>
  <si>
    <t>Riesgo suicida</t>
  </si>
  <si>
    <t>Riesgo social</t>
  </si>
  <si>
    <t>Riesgo psicoemocional</t>
  </si>
  <si>
    <t>Violencia</t>
  </si>
  <si>
    <t>Riesgo Alcohol y otras drogas</t>
  </si>
  <si>
    <t>Malnutrición por déficit</t>
  </si>
  <si>
    <t>Malnutrición por exceso</t>
  </si>
  <si>
    <t>Riesgo deserción escolar</t>
  </si>
  <si>
    <t>Otro</t>
  </si>
  <si>
    <t>SECCION E: POBLACIÓN EN CONTROL SALUD INTEGRAL DE ADOLESCENTES, SEGÚN ÁMBITOS GINECO-UROLÓGICO/SEXUALIDAD</t>
  </si>
  <si>
    <t>Ámbitos Gineco-Urológico/Sexualidad</t>
  </si>
  <si>
    <t xml:space="preserve"> 10-14 años</t>
  </si>
  <si>
    <t xml:space="preserve"> 15 - 19 años</t>
  </si>
  <si>
    <t>Adolescentes con conducta postergadora</t>
  </si>
  <si>
    <t>Adolescentes con conducta anticipadora</t>
  </si>
  <si>
    <t>Adolescentes con conducta activa</t>
  </si>
  <si>
    <t>Uso actual de método anticonceptivo</t>
  </si>
  <si>
    <t>Uso actual de doble protección</t>
  </si>
  <si>
    <t>Adolescente con antecedente de un primer embarazo</t>
  </si>
  <si>
    <t>Adolescente con antecedente de más de un embarazo</t>
  </si>
  <si>
    <t>Adolescente con antecedente de aborto</t>
  </si>
  <si>
    <t>SECCION F: POBLACIÓN EN CONTROL SALUD INTEGRAL DE ADOLESCENTES, SEGÚN TIPO DE  VIOLENCIA</t>
  </si>
  <si>
    <t>Tipo violencia</t>
  </si>
  <si>
    <t>Violencia intrafamiliar</t>
  </si>
  <si>
    <t>Violencia de pareja / pololeo</t>
  </si>
  <si>
    <t xml:space="preserve">Violencia escolar o Bullyng </t>
  </si>
  <si>
    <t>Violencia virtual</t>
  </si>
  <si>
    <t>SECCION G: POBLACIÓN EN CONTROL DE SALUD INTEGRAL ADOLESCENTES QUE RECIBE CONSEJERÍA</t>
  </si>
  <si>
    <t>Actividad y Área Temática</t>
  </si>
  <si>
    <t>Grupos de Edad</t>
  </si>
  <si>
    <t>Total de Adolescentes que reciben Consejería</t>
  </si>
  <si>
    <t>Espacios Amigables</t>
  </si>
  <si>
    <t>Actividad física</t>
  </si>
  <si>
    <t>15-19 años</t>
  </si>
  <si>
    <t>Alimentación saludable</t>
  </si>
  <si>
    <t>Tabaquismo</t>
  </si>
  <si>
    <t>Consumo de drogas</t>
  </si>
  <si>
    <t>Salud sexual reproductiva</t>
  </si>
  <si>
    <t>Regulación de fecundidad</t>
  </si>
  <si>
    <t>Prevención VIH-ITS</t>
  </si>
  <si>
    <t>Obesidad abdominal  (p&gt;90)</t>
  </si>
  <si>
    <t>REM-P11. POBLACIÓN EN CONTROL PROGRAMA DE INFECCIONES DE TRASMISIÓN SEXUAL - VIH / SIDA</t>
  </si>
  <si>
    <t>SECCION A: POBLACIÓN EN CONTROL DEL PROGRAMA DE VIH/SIDA (Uso exclusivo Centros de Atención VIH-SIDA)</t>
  </si>
  <si>
    <t>Concepto</t>
  </si>
  <si>
    <t>Población SENAME</t>
  </si>
  <si>
    <t>Población Mejor Niñez</t>
  </si>
  <si>
    <t>Menor 1 Año</t>
  </si>
  <si>
    <t>1 año</t>
  </si>
  <si>
    <t>2 a 4 años</t>
  </si>
  <si>
    <t>Femenino (NO)</t>
  </si>
  <si>
    <t>Nº Total de personas con VIH/SIDA</t>
  </si>
  <si>
    <t>Inicia TARV en este embarazo</t>
  </si>
  <si>
    <t>En TARV previa</t>
  </si>
  <si>
    <t>No Gestantes</t>
  </si>
  <si>
    <t>Con TARV</t>
  </si>
  <si>
    <t>Sin TARV</t>
  </si>
  <si>
    <t>N° Total de personas en TARV</t>
  </si>
  <si>
    <t>Con carga viral &lt;a 1000 copias</t>
  </si>
  <si>
    <t>SECCION B: POBLACIÓN EN CONTROL POR COMERCIO SEXUAL (Uso exclusivo de Unidades Control Comercio Sexual)</t>
  </si>
  <si>
    <t xml:space="preserve"> </t>
  </si>
  <si>
    <t>Nº de personas / Comercio Sexual</t>
  </si>
  <si>
    <t>Menor de 25 años</t>
  </si>
  <si>
    <t xml:space="preserve">25 a 29 años </t>
  </si>
  <si>
    <t>Menor de 35 años</t>
  </si>
  <si>
    <t>35 a 49 años</t>
  </si>
  <si>
    <t>GRUPO DE EDAD 
(en años)</t>
  </si>
  <si>
    <t>REM-P12. PERSONAS CON TAMIZAJE PARA LA DETECCIÓN PRECOZ DE CÁNCER DE CUELLO UTERINO –  CÁNCER DE MAMAS  (SEMESTRAL)</t>
  </si>
  <si>
    <t xml:space="preserve">SECCIÓN A: PROGRAMA DE CANCER DE CUELLO UTERINO: </t>
  </si>
  <si>
    <t xml:space="preserve">SECCIÓN A1: POBLACIÓN CON TAMIZAJE VIGENTE </t>
  </si>
  <si>
    <t>PARA LA DETECCIÓN PRECOZ DEL CÁNCER DE CUELLO UTERINO</t>
  </si>
  <si>
    <t xml:space="preserve">Mujeres con Tamizaje vigente para la detección precoz de Cáncer de Cuello Uterino </t>
  </si>
  <si>
    <t xml:space="preserve">Trans Masculino con Tamizaje vigente para la deteccion precoz de Cáncer de Cuello Uterino </t>
  </si>
  <si>
    <t>(*) Fuente de información: CITOEXPERT o REVICAN</t>
  </si>
  <si>
    <t>SECCIÓN A2: POBLACIÓN CON VPH VIGENTE</t>
  </si>
  <si>
    <t>GRUPOS DE EDAD 
(en años)</t>
  </si>
  <si>
    <t>Mujeres con examen VPH vigente en los últimos 5 años</t>
  </si>
  <si>
    <t>Trans Masculino con examen  VPH vigente en los últimos 5 años</t>
  </si>
  <si>
    <t>SECCION B: PROGRAMA DE CANCER DE MAMA</t>
  </si>
  <si>
    <t xml:space="preserve">SECCIÓN B1: MUJERES CON MAMOGRAFÍA VIGENTE EN LOS ÚLTIMOS 2 AÑOS. </t>
  </si>
  <si>
    <t>Mujeres con Mamografía vigente (Menor o igual a 2 años)</t>
  </si>
  <si>
    <t>Trans masculino
con Mamografía vigente (Menor o igual a 2 años)</t>
  </si>
  <si>
    <t xml:space="preserve">(*) Fuente de información: Tarjetero poblacional de la APS	</t>
  </si>
  <si>
    <t>SECCIÓN B2: NÚMERO DE MUJERES CON EXAMEN FÍSICO DE MAMA - EFM (VIGENTE)</t>
  </si>
  <si>
    <t xml:space="preserve">Mujeres con EFM vigente </t>
  </si>
  <si>
    <t>Trans Masculino
con EFM vigente (Menor o igual a 2 años)</t>
  </si>
  <si>
    <t>REM-P13. NIÑOS, NIÑAS, ADOLESCENTES Y JÓVENES CON VULNERACIÓN DE DERECHOS Y/O INFRACCIÓN A LA LEY BAJO LA PROTECCIÓN DEL ESTADO EN ATENCIÓN</t>
  </si>
  <si>
    <t>SECCIÓN A: NIÑOS, NIÑAS, ADOLESCENTES Y JÓVENES CON VULNERACIÓN DE DERECHOS Y/O INFRACCIÓN A LA LEY EN CONTROL DE SALUD EN APS AL CORTE</t>
  </si>
  <si>
    <t>Tipo de Programa</t>
  </si>
  <si>
    <t xml:space="preserve"> 0 - 4 años</t>
  </si>
  <si>
    <t xml:space="preserve"> 5 - 9 años</t>
  </si>
  <si>
    <t xml:space="preserve"> 10 - 14 años</t>
  </si>
  <si>
    <t>20 - 24 años</t>
  </si>
  <si>
    <t>25 y más años</t>
  </si>
  <si>
    <t>Sanción medio libre (SENAME -Servicio de Reinserción Social Juvenil)</t>
  </si>
  <si>
    <t>CIP-CRC (Medio Privativo)</t>
  </si>
  <si>
    <t>SECCIÓN B: VARIABLES DE SEGUIMIENTO A POBLACIÓN DEL SERVICIO DE PROTECCIÓN ESPECIALIZADA  EX MEJOR NIÑEZ Y  EX SENAME EN CONTROL DE SALUD EN APS AL CORTE</t>
  </si>
  <si>
    <t>Variables</t>
  </si>
  <si>
    <t>Población en control con método de regulación de fertilidad</t>
  </si>
  <si>
    <t>Gestantes en control con riesgo psicosocial</t>
  </si>
  <si>
    <t>Población infantil en control</t>
  </si>
  <si>
    <t>Población en control de salud integral de adolescentes según área de riesgo</t>
  </si>
  <si>
    <t>Población en Control de salud según ciclo vital mayor de 20 años</t>
  </si>
  <si>
    <t>Población en control de salud mental</t>
  </si>
  <si>
    <t>Población en programa de acompañamiento psicosocial</t>
  </si>
  <si>
    <t>Población en control de salud bucal</t>
  </si>
  <si>
    <t>AMBULATORIO (SPE Mejor Niñez)</t>
  </si>
  <si>
    <t>RESIDENCIALES (SPE Mejor Niñez)</t>
  </si>
  <si>
    <t>Identidad de género</t>
  </si>
  <si>
    <t>REM</t>
  </si>
  <si>
    <t>REM P1</t>
  </si>
  <si>
    <t>REM P2</t>
  </si>
  <si>
    <t>REM P3</t>
  </si>
  <si>
    <t>REM P4</t>
  </si>
  <si>
    <t>REM P5</t>
  </si>
  <si>
    <t>REM P6</t>
  </si>
  <si>
    <t>REM P7</t>
  </si>
  <si>
    <t>REM P9</t>
  </si>
  <si>
    <t>REM P11</t>
  </si>
  <si>
    <t>REM P12</t>
  </si>
  <si>
    <t>REM P13</t>
  </si>
  <si>
    <t>REM Version 1.1</t>
  </si>
  <si>
    <t>ACTUALIZADA</t>
  </si>
  <si>
    <t xml:space="preserve">NO APLICA CONTABILIZACION DE REM </t>
  </si>
  <si>
    <t xml:space="preserve">Estructura Produccion </t>
  </si>
  <si>
    <t xml:space="preserve">Contabilizado en Produccion </t>
  </si>
  <si>
    <t>Con 3 o más Riesgos Psicosociales</t>
  </si>
  <si>
    <t xml:space="preserve">Mujeres con MRS en control </t>
  </si>
  <si>
    <t>Gestantes en control con resultado 1° Tamizaje Sífilis</t>
  </si>
  <si>
    <t>Gestantes en control con resultado Tamizaje Sífilis 3° trimestre gestación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</si>
</sst>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0_)"/>
    <numFmt numFmtId="166" formatCode="_-* #,##0_-;\-* #,##0_-;_-* &quot;-&quot;_-;_-@_-"/>
  </numFmts>
  <fonts count="33">
    <font>
      <sz val="11"/>
      <color theme="1"/>
      <name val="Calibri"/>
      <family val="2"/>
      <scheme val="minor"/>
    </font>
    <font>
      <sz val="11"/>
      <color theme="1"/>
      <name val="Calibri"/>
      <family val="2"/>
      <scheme val="minor"/>
    </font>
    <font>
      <b/>
      <sz val="8"/>
      <name val="Verdana"/>
      <family val="2"/>
    </font>
    <font>
      <b/>
      <sz val="12"/>
      <name val="Verdana"/>
      <family val="2"/>
    </font>
    <font>
      <sz val="8"/>
      <name val="Verdana"/>
      <family val="2"/>
    </font>
    <font>
      <b/>
      <sz val="9"/>
      <name val="Verdana"/>
      <family val="2"/>
    </font>
    <font>
      <sz val="9"/>
      <name val="Verdana"/>
      <family val="2"/>
    </font>
    <font>
      <sz val="8"/>
      <color theme="1"/>
      <name val="Verdana"/>
      <family val="2"/>
    </font>
    <font>
      <sz val="9"/>
      <color indexed="81"/>
      <name val="Tahoma"/>
      <family val="2"/>
    </font>
    <font>
      <b/>
      <sz val="9"/>
      <color indexed="81"/>
      <name val="Tahoma"/>
      <family val="2"/>
    </font>
    <font>
      <sz val="9"/>
      <color indexed="81"/>
      <name val="Tahoma"/>
      <charset val="1"/>
    </font>
    <font>
      <sz val="8"/>
      <name val="Arial"/>
      <family val="2"/>
    </font>
    <font>
      <sz val="11"/>
      <name val="Calibri"/>
      <family val="2"/>
      <scheme val="minor"/>
    </font>
    <font>
      <sz val="8"/>
      <color rgb="FFFF0000"/>
      <name val="Verdana"/>
      <family val="2"/>
    </font>
    <font>
      <sz val="10"/>
      <name val="Arial"/>
      <family val="2"/>
    </font>
    <font>
      <b/>
      <sz val="11"/>
      <color theme="1"/>
      <name val="Calibri"/>
      <family val="2"/>
    </font>
    <font>
      <sz val="11"/>
      <color theme="1"/>
      <name val="Calibri"/>
      <family val="2"/>
    </font>
    <font>
      <sz val="8"/>
      <color indexed="81"/>
      <name val="Tahoma"/>
      <family val="2"/>
    </font>
    <font>
      <b/>
      <sz val="8"/>
      <color indexed="81"/>
      <name val="Tahoma"/>
      <family val="2"/>
    </font>
    <font>
      <sz val="8"/>
      <name val="Vendana"/>
    </font>
    <font>
      <b/>
      <sz val="10"/>
      <name val="Verdana"/>
      <family val="2"/>
    </font>
    <font>
      <sz val="10"/>
      <color indexed="81"/>
      <name val="Tahoma"/>
      <family val="2"/>
    </font>
    <font>
      <b/>
      <sz val="10"/>
      <color indexed="81"/>
      <name val="Tahoma"/>
      <family val="2"/>
    </font>
    <font>
      <sz val="12"/>
      <name val="Verdana"/>
      <family val="2"/>
    </font>
    <font>
      <sz val="9"/>
      <color indexed="17"/>
      <name val="Tahoma"/>
      <family val="2"/>
    </font>
    <font>
      <u/>
      <sz val="9"/>
      <color indexed="81"/>
      <name val="Tahoma"/>
      <family val="2"/>
    </font>
    <font>
      <sz val="9"/>
      <color theme="1"/>
      <name val="Calibri"/>
      <family val="2"/>
      <scheme val="minor"/>
    </font>
    <font>
      <sz val="8"/>
      <color indexed="10"/>
      <name val="Verdana"/>
      <family val="2"/>
    </font>
    <font>
      <b/>
      <sz val="8"/>
      <color theme="1"/>
      <name val="Verdana"/>
      <family val="2"/>
    </font>
    <font>
      <sz val="11"/>
      <color indexed="8"/>
      <name val="Calibri"/>
      <family val="2"/>
    </font>
    <font>
      <u/>
      <sz val="8"/>
      <name val="Verdana"/>
      <family val="2"/>
    </font>
    <font>
      <sz val="8"/>
      <color rgb="FF00B050"/>
      <name val="Verdana"/>
      <family val="2"/>
    </font>
    <font>
      <b/>
      <sz val="1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BFBFB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BA"/>
        <bgColor indexed="64"/>
      </patternFill>
    </fill>
    <fill>
      <patternFill patternType="solid">
        <fgColor rgb="FFFFFFCC"/>
        <bgColor indexed="64"/>
      </patternFill>
    </fill>
    <fill>
      <patternFill patternType="solid">
        <fgColor theme="9" tint="-0.24994659260841701"/>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indexed="43"/>
        <bgColor indexed="64"/>
      </patternFill>
    </fill>
    <fill>
      <patternFill patternType="solid">
        <fgColor indexed="22"/>
        <bgColor indexed="64"/>
      </patternFill>
    </fill>
    <fill>
      <patternFill patternType="solid">
        <fgColor theme="2"/>
        <bgColor indexed="64"/>
      </patternFill>
    </fill>
    <fill>
      <patternFill patternType="solid">
        <fgColor theme="0"/>
        <bgColor rgb="FF000000"/>
      </patternFill>
    </fill>
    <fill>
      <patternFill patternType="solid">
        <fgColor theme="4" tint="0.79998168889431442"/>
        <bgColor indexed="64"/>
      </patternFill>
    </fill>
  </fills>
  <borders count="248">
    <border>
      <left/>
      <right/>
      <top/>
      <bottom/>
      <diagonal/>
    </border>
    <border>
      <left style="thin">
        <color indexed="9"/>
      </left>
      <right/>
      <top/>
      <bottom/>
      <diagonal/>
    </border>
    <border>
      <left style="thin">
        <color indexed="9"/>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rgb="FF000000"/>
      </right>
      <top style="thin">
        <color rgb="FF000000"/>
      </top>
      <bottom style="thin">
        <color rgb="FF000000"/>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double">
        <color indexed="64"/>
      </right>
      <top style="thin">
        <color indexed="64"/>
      </top>
      <bottom style="thin">
        <color indexed="64"/>
      </bottom>
      <diagonal/>
    </border>
    <border>
      <left/>
      <right style="thin">
        <color indexed="64"/>
      </right>
      <top style="thin">
        <color rgb="FF000000"/>
      </top>
      <bottom style="thin">
        <color rgb="FF000000"/>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hair">
        <color indexed="64"/>
      </right>
      <top style="hair">
        <color indexed="64"/>
      </top>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rgb="FFFFFFFF"/>
      </left>
      <right/>
      <top style="thin">
        <color indexed="64"/>
      </top>
      <bottom style="thin">
        <color indexed="64"/>
      </bottom>
      <diagonal/>
    </border>
    <border>
      <left style="thin">
        <color indexed="9"/>
      </left>
      <right style="thin">
        <color indexed="9"/>
      </right>
      <top/>
      <bottom/>
      <diagonal/>
    </border>
    <border>
      <left style="thin">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auto="1"/>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hair">
        <color indexed="64"/>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top style="hair">
        <color indexed="64"/>
      </top>
      <bottom/>
      <diagonal/>
    </border>
    <border>
      <left style="thin">
        <color indexed="55"/>
      </left>
      <right style="thin">
        <color indexed="55"/>
      </right>
      <top style="thin">
        <color indexed="55"/>
      </top>
      <bottom style="thin">
        <color indexed="55"/>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indexed="64"/>
      </left>
      <right style="thin">
        <color indexed="64"/>
      </right>
      <top style="hair">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double">
        <color indexed="64"/>
      </right>
      <top style="thin">
        <color indexed="64"/>
      </top>
      <bottom/>
      <diagonal/>
    </border>
    <border>
      <left style="hair">
        <color indexed="64"/>
      </left>
      <right style="hair">
        <color indexed="64"/>
      </right>
      <top style="thin">
        <color indexed="64"/>
      </top>
      <bottom/>
      <diagonal/>
    </border>
    <border>
      <left/>
      <right style="thin">
        <color indexed="9"/>
      </right>
      <top style="thin">
        <color indexed="64"/>
      </top>
      <bottom style="thin">
        <color indexed="64"/>
      </bottom>
      <diagonal/>
    </border>
    <border>
      <left style="thin">
        <color indexed="64"/>
      </left>
      <right style="double">
        <color indexed="64"/>
      </right>
      <top/>
      <bottom style="hair">
        <color indexed="64"/>
      </bottom>
      <diagonal/>
    </border>
    <border>
      <left style="thin">
        <color indexed="55"/>
      </left>
      <right style="thin">
        <color indexed="55"/>
      </right>
      <top style="thin">
        <color indexed="55"/>
      </top>
      <bottom style="thin">
        <color indexed="55"/>
      </bottom>
      <diagonal/>
    </border>
    <border>
      <left style="thin">
        <color auto="1"/>
      </left>
      <right style="double">
        <color auto="1"/>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thin">
        <color rgb="FF000000"/>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right/>
      <top style="thin">
        <color auto="1"/>
      </top>
      <bottom style="thin">
        <color auto="1"/>
      </bottom>
      <diagonal/>
    </border>
  </borders>
  <cellStyleXfs count="25">
    <xf numFmtId="0" fontId="0" fillId="0" borderId="0"/>
    <xf numFmtId="0" fontId="11" fillId="0" borderId="0"/>
    <xf numFmtId="0" fontId="11" fillId="0" borderId="0"/>
    <xf numFmtId="0" fontId="11" fillId="0" borderId="0"/>
    <xf numFmtId="0" fontId="14" fillId="0" borderId="0"/>
    <xf numFmtId="0" fontId="14" fillId="0" borderId="0"/>
    <xf numFmtId="0" fontId="1" fillId="0" borderId="0"/>
    <xf numFmtId="0" fontId="14" fillId="18" borderId="178" applyNumberFormat="0">
      <protection locked="0"/>
    </xf>
    <xf numFmtId="0" fontId="14" fillId="0" borderId="0"/>
    <xf numFmtId="0" fontId="14" fillId="18" borderId="196" applyNumberFormat="0">
      <protection locked="0"/>
    </xf>
    <xf numFmtId="0" fontId="14" fillId="18" borderId="207" applyNumberFormat="0">
      <protection locked="0"/>
    </xf>
    <xf numFmtId="0" fontId="14" fillId="0" borderId="0"/>
    <xf numFmtId="166" fontId="14" fillId="0" borderId="0" applyFont="0" applyFill="0" applyBorder="0" applyAlignment="0" applyProtection="0"/>
    <xf numFmtId="0" fontId="11" fillId="0" borderId="0"/>
    <xf numFmtId="0" fontId="11" fillId="0" borderId="0"/>
    <xf numFmtId="0" fontId="29" fillId="0" borderId="0" applyFont="0" applyFill="0" applyBorder="0" applyAlignment="0" applyProtection="0"/>
    <xf numFmtId="0" fontId="14" fillId="0" borderId="0"/>
    <xf numFmtId="0" fontId="14" fillId="0" borderId="0"/>
    <xf numFmtId="0" fontId="32" fillId="0" borderId="0" applyFont="0" applyBorder="0" applyAlignment="0" applyProtection="0"/>
    <xf numFmtId="0" fontId="14" fillId="18" borderId="200" applyBorder="0">
      <protection locked="0"/>
    </xf>
    <xf numFmtId="0" fontId="14" fillId="18" borderId="196" applyNumberFormat="0">
      <protection locked="0"/>
    </xf>
    <xf numFmtId="0" fontId="14" fillId="18" borderId="196" applyNumberFormat="0">
      <protection locked="0"/>
    </xf>
    <xf numFmtId="0" fontId="14" fillId="18" borderId="228" applyNumberFormat="0">
      <protection locked="0"/>
    </xf>
    <xf numFmtId="0" fontId="14" fillId="18" borderId="228" applyNumberFormat="0">
      <protection locked="0"/>
    </xf>
    <xf numFmtId="0" fontId="14" fillId="18" borderId="200" applyBorder="0">
      <protection locked="0"/>
    </xf>
  </cellStyleXfs>
  <cellXfs count="2461">
    <xf numFmtId="0" fontId="0" fillId="0" borderId="0" xfId="0"/>
    <xf numFmtId="1" fontId="2" fillId="2" borderId="0" xfId="0" applyNumberFormat="1" applyFont="1" applyFill="1"/>
    <xf numFmtId="1" fontId="2" fillId="3" borderId="0" xfId="0" applyNumberFormat="1" applyFont="1" applyFill="1"/>
    <xf numFmtId="1" fontId="2" fillId="0" borderId="0" xfId="0" applyNumberFormat="1" applyFont="1"/>
    <xf numFmtId="1" fontId="2" fillId="2" borderId="0" xfId="0" applyNumberFormat="1" applyFont="1" applyFill="1" applyAlignment="1">
      <alignment horizontal="center"/>
    </xf>
    <xf numFmtId="1" fontId="4" fillId="0" borderId="0" xfId="0" applyNumberFormat="1" applyFont="1"/>
    <xf numFmtId="1" fontId="4" fillId="3" borderId="0" xfId="0" applyNumberFormat="1" applyFont="1" applyFill="1"/>
    <xf numFmtId="1" fontId="4" fillId="0" borderId="0" xfId="0" applyNumberFormat="1" applyFont="1" applyProtection="1">
      <protection hidden="1"/>
    </xf>
    <xf numFmtId="1" fontId="2" fillId="0" borderId="3" xfId="0" applyNumberFormat="1" applyFont="1" applyBorder="1" applyProtection="1">
      <protection hidden="1"/>
    </xf>
    <xf numFmtId="1" fontId="4" fillId="0" borderId="14" xfId="0" applyNumberFormat="1" applyFont="1" applyBorder="1" applyAlignment="1">
      <alignment horizontal="center" vertical="center" wrapText="1"/>
    </xf>
    <xf numFmtId="1" fontId="4" fillId="0" borderId="15" xfId="0" quotePrefix="1" applyNumberFormat="1" applyFont="1" applyBorder="1" applyAlignment="1">
      <alignment horizontal="center" vertical="center"/>
    </xf>
    <xf numFmtId="1" fontId="4" fillId="0" borderId="15" xfId="0" applyNumberFormat="1" applyFont="1" applyBorder="1" applyAlignment="1">
      <alignment horizontal="center" vertical="center"/>
    </xf>
    <xf numFmtId="1"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xf>
    <xf numFmtId="1" fontId="4" fillId="0" borderId="18"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1" fontId="4" fillId="0" borderId="0" xfId="0" applyNumberFormat="1" applyFont="1" applyAlignment="1">
      <alignment horizontal="center" vertical="center"/>
    </xf>
    <xf numFmtId="1" fontId="4" fillId="3" borderId="0" xfId="0" applyNumberFormat="1" applyFont="1" applyFill="1" applyAlignment="1">
      <alignment horizontal="center" vertical="center"/>
    </xf>
    <xf numFmtId="1" fontId="4" fillId="0" borderId="25" xfId="0" applyNumberFormat="1" applyFont="1" applyBorder="1" applyAlignment="1">
      <alignment horizontal="right"/>
    </xf>
    <xf numFmtId="1" fontId="4" fillId="4" borderId="26" xfId="0" applyNumberFormat="1" applyFont="1" applyFill="1" applyBorder="1" applyAlignment="1" applyProtection="1">
      <alignment horizontal="right"/>
      <protection locked="0"/>
    </xf>
    <xf numFmtId="1" fontId="4" fillId="5" borderId="27" xfId="0" applyNumberFormat="1" applyFont="1" applyFill="1" applyBorder="1" applyAlignment="1">
      <alignment horizontal="right"/>
    </xf>
    <xf numFmtId="1" fontId="4" fillId="5" borderId="28" xfId="0" applyNumberFormat="1" applyFont="1" applyFill="1" applyBorder="1" applyAlignment="1">
      <alignment horizontal="right"/>
    </xf>
    <xf numFmtId="1" fontId="4" fillId="4" borderId="29" xfId="0" applyNumberFormat="1" applyFont="1" applyFill="1" applyBorder="1" applyAlignment="1" applyProtection="1">
      <alignment horizontal="right"/>
      <protection locked="0"/>
    </xf>
    <xf numFmtId="1" fontId="4" fillId="4" borderId="23" xfId="0" applyNumberFormat="1" applyFont="1" applyFill="1" applyBorder="1" applyAlignment="1" applyProtection="1">
      <alignment horizontal="right"/>
      <protection locked="0"/>
    </xf>
    <xf numFmtId="1" fontId="4" fillId="4" borderId="30" xfId="0" applyNumberFormat="1" applyFont="1" applyFill="1" applyBorder="1" applyAlignment="1" applyProtection="1">
      <alignment horizontal="right"/>
      <protection locked="0"/>
    </xf>
    <xf numFmtId="1" fontId="4" fillId="5" borderId="26" xfId="0" applyNumberFormat="1" applyFont="1" applyFill="1" applyBorder="1" applyAlignment="1">
      <alignment horizontal="right"/>
    </xf>
    <xf numFmtId="1" fontId="4" fillId="4" borderId="24" xfId="0" applyNumberFormat="1" applyFont="1" applyFill="1" applyBorder="1" applyAlignment="1" applyProtection="1">
      <alignment horizontal="right"/>
      <protection locked="0"/>
    </xf>
    <xf numFmtId="1" fontId="6" fillId="0" borderId="0" xfId="0" applyNumberFormat="1" applyFont="1"/>
    <xf numFmtId="1" fontId="6" fillId="6" borderId="0" xfId="0" applyNumberFormat="1" applyFont="1" applyFill="1"/>
    <xf numFmtId="1" fontId="6" fillId="7" borderId="0" xfId="0" applyNumberFormat="1" applyFont="1" applyFill="1"/>
    <xf numFmtId="1" fontId="4" fillId="8" borderId="0" xfId="0" applyNumberFormat="1" applyFont="1" applyFill="1"/>
    <xf numFmtId="1" fontId="4" fillId="7" borderId="0" xfId="0" applyNumberFormat="1" applyFont="1" applyFill="1"/>
    <xf numFmtId="1" fontId="4" fillId="0" borderId="32" xfId="0" applyNumberFormat="1" applyFont="1" applyBorder="1" applyAlignment="1">
      <alignment horizontal="right"/>
    </xf>
    <xf numFmtId="1" fontId="4" fillId="4" borderId="33" xfId="0" applyNumberFormat="1" applyFont="1" applyFill="1" applyBorder="1" applyAlignment="1" applyProtection="1">
      <alignment horizontal="right"/>
      <protection locked="0"/>
    </xf>
    <xf numFmtId="1" fontId="4" fillId="5" borderId="34" xfId="0" applyNumberFormat="1" applyFont="1" applyFill="1" applyBorder="1" applyAlignment="1">
      <alignment horizontal="right"/>
    </xf>
    <xf numFmtId="1" fontId="4" fillId="5" borderId="35" xfId="0" applyNumberFormat="1" applyFont="1" applyFill="1" applyBorder="1" applyAlignment="1">
      <alignment horizontal="right"/>
    </xf>
    <xf numFmtId="1" fontId="4" fillId="4" borderId="19" xfId="0" applyNumberFormat="1" applyFont="1" applyFill="1" applyBorder="1" applyAlignment="1" applyProtection="1">
      <alignment horizontal="right"/>
      <protection locked="0"/>
    </xf>
    <xf numFmtId="1" fontId="4" fillId="4" borderId="20" xfId="0" applyNumberFormat="1" applyFont="1" applyFill="1" applyBorder="1" applyAlignment="1" applyProtection="1">
      <alignment horizontal="right"/>
      <protection locked="0"/>
    </xf>
    <xf numFmtId="1" fontId="4" fillId="4" borderId="13" xfId="0" applyNumberFormat="1" applyFont="1" applyFill="1" applyBorder="1" applyAlignment="1" applyProtection="1">
      <alignment horizontal="right"/>
      <protection locked="0"/>
    </xf>
    <xf numFmtId="1" fontId="4" fillId="5" borderId="33" xfId="0" applyNumberFormat="1" applyFont="1" applyFill="1" applyBorder="1" applyAlignment="1">
      <alignment horizontal="right"/>
    </xf>
    <xf numFmtId="1" fontId="4" fillId="4" borderId="22" xfId="0" applyNumberFormat="1" applyFont="1" applyFill="1" applyBorder="1" applyAlignment="1" applyProtection="1">
      <alignment horizontal="right"/>
      <protection locked="0"/>
    </xf>
    <xf numFmtId="1" fontId="4" fillId="0" borderId="36" xfId="0" applyNumberFormat="1" applyFont="1" applyBorder="1" applyAlignment="1">
      <alignment horizontal="right"/>
    </xf>
    <xf numFmtId="1" fontId="4" fillId="4" borderId="37" xfId="0" applyNumberFormat="1" applyFont="1" applyFill="1" applyBorder="1" applyAlignment="1" applyProtection="1">
      <alignment horizontal="right"/>
      <protection locked="0"/>
    </xf>
    <xf numFmtId="1" fontId="4" fillId="5" borderId="38" xfId="0" applyNumberFormat="1" applyFont="1" applyFill="1" applyBorder="1" applyAlignment="1">
      <alignment horizontal="right"/>
    </xf>
    <xf numFmtId="1" fontId="4" fillId="5" borderId="39" xfId="0" applyNumberFormat="1" applyFont="1" applyFill="1" applyBorder="1" applyAlignment="1">
      <alignment horizontal="right"/>
    </xf>
    <xf numFmtId="1" fontId="4" fillId="4" borderId="40" xfId="0" applyNumberFormat="1" applyFont="1" applyFill="1" applyBorder="1" applyAlignment="1" applyProtection="1">
      <alignment horizontal="right"/>
      <protection locked="0"/>
    </xf>
    <xf numFmtId="1" fontId="4" fillId="4" borderId="41" xfId="0" applyNumberFormat="1" applyFont="1" applyFill="1" applyBorder="1" applyAlignment="1" applyProtection="1">
      <alignment horizontal="right"/>
      <protection locked="0"/>
    </xf>
    <xf numFmtId="1" fontId="4" fillId="4" borderId="42" xfId="0" applyNumberFormat="1" applyFont="1" applyFill="1" applyBorder="1" applyAlignment="1" applyProtection="1">
      <alignment horizontal="right"/>
      <protection locked="0"/>
    </xf>
    <xf numFmtId="1" fontId="4" fillId="5" borderId="37" xfId="0" applyNumberFormat="1" applyFont="1" applyFill="1" applyBorder="1" applyAlignment="1">
      <alignment horizontal="right"/>
    </xf>
    <xf numFmtId="1" fontId="4" fillId="4" borderId="43" xfId="0" applyNumberFormat="1" applyFont="1" applyFill="1" applyBorder="1" applyAlignment="1" applyProtection="1">
      <alignment horizontal="right"/>
      <protection locked="0"/>
    </xf>
    <xf numFmtId="1" fontId="4" fillId="4" borderId="45" xfId="0" applyNumberFormat="1" applyFont="1" applyFill="1" applyBorder="1" applyAlignment="1" applyProtection="1">
      <alignment horizontal="right"/>
      <protection locked="0"/>
    </xf>
    <xf numFmtId="1" fontId="4" fillId="5" borderId="46" xfId="0" applyNumberFormat="1" applyFont="1" applyFill="1" applyBorder="1" applyAlignment="1">
      <alignment horizontal="right"/>
    </xf>
    <xf numFmtId="1" fontId="4" fillId="5" borderId="47" xfId="0" applyNumberFormat="1" applyFont="1" applyFill="1" applyBorder="1" applyAlignment="1">
      <alignment horizontal="right"/>
    </xf>
    <xf numFmtId="1" fontId="4" fillId="4" borderId="48" xfId="0" applyNumberFormat="1" applyFont="1" applyFill="1" applyBorder="1" applyAlignment="1" applyProtection="1">
      <alignment horizontal="right"/>
      <protection locked="0"/>
    </xf>
    <xf numFmtId="1" fontId="4" fillId="4" borderId="49" xfId="0" applyNumberFormat="1" applyFont="1" applyFill="1" applyBorder="1" applyAlignment="1" applyProtection="1">
      <alignment horizontal="right"/>
      <protection locked="0"/>
    </xf>
    <xf numFmtId="1" fontId="4" fillId="5" borderId="45" xfId="0" applyNumberFormat="1" applyFont="1" applyFill="1" applyBorder="1" applyAlignment="1">
      <alignment horizontal="right"/>
    </xf>
    <xf numFmtId="1" fontId="4" fillId="4" borderId="50" xfId="0" applyNumberFormat="1" applyFont="1" applyFill="1" applyBorder="1" applyAlignment="1" applyProtection="1">
      <alignment horizontal="right"/>
      <protection locked="0"/>
    </xf>
    <xf numFmtId="1" fontId="4" fillId="4" borderId="51" xfId="0" applyNumberFormat="1" applyFont="1" applyFill="1" applyBorder="1" applyAlignment="1" applyProtection="1">
      <alignment horizontal="right"/>
      <protection locked="0"/>
    </xf>
    <xf numFmtId="1" fontId="4" fillId="5" borderId="52" xfId="0" applyNumberFormat="1" applyFont="1" applyFill="1" applyBorder="1" applyAlignment="1">
      <alignment horizontal="right"/>
    </xf>
    <xf numFmtId="1" fontId="4" fillId="5" borderId="53" xfId="0" applyNumberFormat="1" applyFont="1" applyFill="1" applyBorder="1" applyAlignment="1">
      <alignment horizontal="right"/>
    </xf>
    <xf numFmtId="1" fontId="4" fillId="4" borderId="54" xfId="0" applyNumberFormat="1" applyFont="1" applyFill="1" applyBorder="1" applyAlignment="1" applyProtection="1">
      <alignment horizontal="right"/>
      <protection locked="0"/>
    </xf>
    <xf numFmtId="1" fontId="4" fillId="4" borderId="55" xfId="0" applyNumberFormat="1" applyFont="1" applyFill="1" applyBorder="1" applyAlignment="1" applyProtection="1">
      <alignment horizontal="right"/>
      <protection locked="0"/>
    </xf>
    <xf numFmtId="1" fontId="4" fillId="5" borderId="51" xfId="0" applyNumberFormat="1" applyFont="1" applyFill="1" applyBorder="1" applyAlignment="1">
      <alignment horizontal="right"/>
    </xf>
    <xf numFmtId="1" fontId="4" fillId="4" borderId="56" xfId="0" applyNumberFormat="1" applyFont="1" applyFill="1" applyBorder="1" applyAlignment="1" applyProtection="1">
      <alignment horizontal="right"/>
      <protection locked="0"/>
    </xf>
    <xf numFmtId="1" fontId="4" fillId="4" borderId="57" xfId="0" applyNumberFormat="1" applyFont="1" applyFill="1" applyBorder="1" applyAlignment="1" applyProtection="1">
      <alignment horizontal="right"/>
      <protection locked="0"/>
    </xf>
    <xf numFmtId="1" fontId="4" fillId="0" borderId="44" xfId="0" applyNumberFormat="1" applyFont="1" applyBorder="1" applyAlignment="1">
      <alignment horizontal="right"/>
    </xf>
    <xf numFmtId="1" fontId="4" fillId="4" borderId="16" xfId="0" applyNumberFormat="1" applyFont="1" applyFill="1" applyBorder="1" applyAlignment="1" applyProtection="1">
      <alignment horizontal="right"/>
      <protection locked="0"/>
    </xf>
    <xf numFmtId="1" fontId="4" fillId="5" borderId="58" xfId="0" applyNumberFormat="1" applyFont="1" applyFill="1" applyBorder="1" applyAlignment="1">
      <alignment horizontal="right"/>
    </xf>
    <xf numFmtId="1" fontId="4" fillId="5" borderId="59" xfId="0" applyNumberFormat="1" applyFont="1" applyFill="1" applyBorder="1" applyAlignment="1">
      <alignment horizontal="right"/>
    </xf>
    <xf numFmtId="1" fontId="4" fillId="4" borderId="60" xfId="0" applyNumberFormat="1" applyFont="1" applyFill="1" applyBorder="1" applyAlignment="1" applyProtection="1">
      <alignment horizontal="right"/>
      <protection locked="0"/>
    </xf>
    <xf numFmtId="1" fontId="4" fillId="4" borderId="61" xfId="0" applyNumberFormat="1" applyFont="1" applyFill="1" applyBorder="1" applyAlignment="1" applyProtection="1">
      <alignment horizontal="right"/>
      <protection locked="0"/>
    </xf>
    <xf numFmtId="1" fontId="4" fillId="4" borderId="62" xfId="0" applyNumberFormat="1" applyFont="1" applyFill="1" applyBorder="1" applyAlignment="1" applyProtection="1">
      <alignment horizontal="right"/>
      <protection locked="0"/>
    </xf>
    <xf numFmtId="1" fontId="4" fillId="5" borderId="16" xfId="0" applyNumberFormat="1" applyFont="1" applyFill="1" applyBorder="1" applyAlignment="1">
      <alignment horizontal="right"/>
    </xf>
    <xf numFmtId="1" fontId="4" fillId="4" borderId="63" xfId="0" applyNumberFormat="1" applyFont="1" applyFill="1" applyBorder="1" applyAlignment="1" applyProtection="1">
      <alignment horizontal="right"/>
      <protection locked="0"/>
    </xf>
    <xf numFmtId="1" fontId="4" fillId="0" borderId="65" xfId="0" applyNumberFormat="1" applyFont="1" applyBorder="1" applyAlignment="1">
      <alignment horizontal="right"/>
    </xf>
    <xf numFmtId="1" fontId="4" fillId="4" borderId="66" xfId="0" applyNumberFormat="1" applyFont="1" applyFill="1" applyBorder="1" applyAlignment="1" applyProtection="1">
      <alignment horizontal="right"/>
      <protection locked="0"/>
    </xf>
    <xf numFmtId="1" fontId="4" fillId="4" borderId="67" xfId="0" applyNumberFormat="1" applyFont="1" applyFill="1" applyBorder="1" applyAlignment="1" applyProtection="1">
      <alignment horizontal="right"/>
      <protection locked="0"/>
    </xf>
    <xf numFmtId="1" fontId="4" fillId="4" borderId="68" xfId="0" applyNumberFormat="1" applyFont="1" applyFill="1" applyBorder="1" applyAlignment="1" applyProtection="1">
      <alignment horizontal="right"/>
      <protection locked="0"/>
    </xf>
    <xf numFmtId="1" fontId="4" fillId="4" borderId="69" xfId="0" applyNumberFormat="1" applyFont="1" applyFill="1" applyBorder="1" applyAlignment="1" applyProtection="1">
      <alignment horizontal="right"/>
      <protection locked="0"/>
    </xf>
    <xf numFmtId="1" fontId="4" fillId="5" borderId="66" xfId="0" applyNumberFormat="1" applyFont="1" applyFill="1" applyBorder="1" applyAlignment="1">
      <alignment horizontal="right"/>
    </xf>
    <xf numFmtId="1" fontId="4" fillId="4" borderId="70" xfId="0" applyNumberFormat="1" applyFont="1" applyFill="1" applyBorder="1" applyAlignment="1" applyProtection="1">
      <alignment horizontal="right"/>
      <protection locked="0"/>
    </xf>
    <xf numFmtId="1" fontId="4" fillId="0" borderId="71" xfId="0" applyNumberFormat="1" applyFont="1" applyBorder="1" applyAlignment="1">
      <alignment horizontal="right"/>
    </xf>
    <xf numFmtId="1" fontId="4" fillId="5" borderId="72" xfId="0" applyNumberFormat="1" applyFont="1" applyFill="1" applyBorder="1" applyAlignment="1">
      <alignment horizontal="right"/>
    </xf>
    <xf numFmtId="1" fontId="4" fillId="5" borderId="18" xfId="0" applyNumberFormat="1" applyFont="1" applyFill="1" applyBorder="1" applyAlignment="1">
      <alignment horizontal="right"/>
    </xf>
    <xf numFmtId="1" fontId="4" fillId="0" borderId="64" xfId="0" applyNumberFormat="1" applyFont="1" applyBorder="1" applyAlignment="1">
      <alignment horizontal="right"/>
    </xf>
    <xf numFmtId="1" fontId="4" fillId="0" borderId="75" xfId="0" applyNumberFormat="1" applyFont="1" applyBorder="1" applyAlignment="1">
      <alignment horizontal="right"/>
    </xf>
    <xf numFmtId="1" fontId="4" fillId="0" borderId="76" xfId="0" applyNumberFormat="1" applyFont="1" applyBorder="1" applyAlignment="1">
      <alignment horizontal="right"/>
    </xf>
    <xf numFmtId="1" fontId="4" fillId="5" borderId="77" xfId="0" applyNumberFormat="1" applyFont="1" applyFill="1" applyBorder="1" applyAlignment="1">
      <alignment horizontal="right"/>
    </xf>
    <xf numFmtId="1" fontId="4" fillId="5" borderId="78" xfId="0" applyNumberFormat="1" applyFont="1" applyFill="1" applyBorder="1" applyAlignment="1">
      <alignment horizontal="right"/>
    </xf>
    <xf numFmtId="1" fontId="4" fillId="5" borderId="79" xfId="0" applyNumberFormat="1" applyFont="1" applyFill="1" applyBorder="1" applyAlignment="1">
      <alignment horizontal="right"/>
    </xf>
    <xf numFmtId="1" fontId="4" fillId="0" borderId="80" xfId="0" applyNumberFormat="1" applyFont="1" applyBorder="1" applyAlignment="1">
      <alignment horizontal="right"/>
    </xf>
    <xf numFmtId="1" fontId="4" fillId="0" borderId="81" xfId="0" applyNumberFormat="1" applyFont="1" applyBorder="1" applyAlignment="1">
      <alignment horizontal="right"/>
    </xf>
    <xf numFmtId="1" fontId="4" fillId="0" borderId="74" xfId="0" applyNumberFormat="1" applyFont="1" applyBorder="1" applyAlignment="1">
      <alignment horizontal="right"/>
    </xf>
    <xf numFmtId="1" fontId="4" fillId="0" borderId="78" xfId="0" applyNumberFormat="1" applyFont="1" applyBorder="1" applyAlignment="1">
      <alignment horizontal="right"/>
    </xf>
    <xf numFmtId="1" fontId="6" fillId="3" borderId="0" xfId="0" applyNumberFormat="1" applyFont="1" applyFill="1"/>
    <xf numFmtId="1" fontId="4" fillId="0" borderId="84" xfId="0" applyNumberFormat="1" applyFont="1" applyBorder="1" applyAlignment="1">
      <alignment horizontal="right"/>
    </xf>
    <xf numFmtId="1" fontId="4" fillId="4" borderId="85" xfId="0" applyNumberFormat="1" applyFont="1" applyFill="1" applyBorder="1" applyAlignment="1" applyProtection="1">
      <alignment horizontal="right"/>
      <protection locked="0"/>
    </xf>
    <xf numFmtId="1" fontId="4" fillId="4" borderId="86" xfId="0" applyNumberFormat="1" applyFont="1" applyFill="1" applyBorder="1" applyAlignment="1" applyProtection="1">
      <alignment horizontal="right"/>
      <protection locked="0"/>
    </xf>
    <xf numFmtId="1" fontId="4" fillId="4" borderId="87" xfId="0" applyNumberFormat="1" applyFont="1" applyFill="1" applyBorder="1" applyAlignment="1" applyProtection="1">
      <alignment horizontal="right"/>
      <protection locked="0"/>
    </xf>
    <xf numFmtId="1" fontId="4" fillId="4" borderId="38" xfId="0" applyNumberFormat="1" applyFont="1" applyFill="1" applyBorder="1" applyAlignment="1" applyProtection="1">
      <alignment horizontal="right"/>
      <protection locked="0"/>
    </xf>
    <xf numFmtId="1" fontId="4" fillId="4" borderId="40" xfId="0" quotePrefix="1" applyNumberFormat="1" applyFont="1" applyFill="1" applyBorder="1" applyAlignment="1" applyProtection="1">
      <alignment horizontal="right"/>
      <protection locked="0"/>
    </xf>
    <xf numFmtId="1" fontId="4" fillId="4" borderId="41" xfId="0" quotePrefix="1" applyNumberFormat="1" applyFont="1" applyFill="1" applyBorder="1" applyAlignment="1" applyProtection="1">
      <alignment horizontal="right"/>
      <protection locked="0"/>
    </xf>
    <xf numFmtId="1" fontId="4" fillId="4" borderId="43" xfId="0" quotePrefix="1" applyNumberFormat="1" applyFont="1" applyFill="1" applyBorder="1" applyAlignment="1" applyProtection="1">
      <alignment horizontal="right"/>
      <protection locked="0"/>
    </xf>
    <xf numFmtId="1" fontId="4" fillId="4" borderId="42" xfId="0" quotePrefix="1" applyNumberFormat="1" applyFont="1" applyFill="1" applyBorder="1" applyAlignment="1" applyProtection="1">
      <alignment horizontal="right"/>
      <protection locked="0"/>
    </xf>
    <xf numFmtId="1" fontId="4" fillId="4" borderId="37" xfId="0" quotePrefix="1" applyNumberFormat="1" applyFont="1" applyFill="1" applyBorder="1" applyAlignment="1" applyProtection="1">
      <alignment horizontal="right"/>
      <protection locked="0"/>
    </xf>
    <xf numFmtId="1" fontId="4" fillId="5" borderId="38" xfId="0" quotePrefix="1" applyNumberFormat="1" applyFont="1" applyFill="1" applyBorder="1" applyAlignment="1">
      <alignment horizontal="right"/>
    </xf>
    <xf numFmtId="1" fontId="4" fillId="4" borderId="34" xfId="0" applyNumberFormat="1" applyFont="1" applyFill="1" applyBorder="1" applyAlignment="1" applyProtection="1">
      <alignment horizontal="right"/>
      <protection locked="0"/>
    </xf>
    <xf numFmtId="1" fontId="4" fillId="4" borderId="19" xfId="0" quotePrefix="1" applyNumberFormat="1" applyFont="1" applyFill="1" applyBorder="1" applyAlignment="1" applyProtection="1">
      <alignment horizontal="right"/>
      <protection locked="0"/>
    </xf>
    <xf numFmtId="1" fontId="4" fillId="4" borderId="20" xfId="0" quotePrefix="1" applyNumberFormat="1" applyFont="1" applyFill="1" applyBorder="1" applyAlignment="1" applyProtection="1">
      <alignment horizontal="right"/>
      <protection locked="0"/>
    </xf>
    <xf numFmtId="1" fontId="4" fillId="4" borderId="22" xfId="0" quotePrefix="1" applyNumberFormat="1" applyFont="1" applyFill="1" applyBorder="1" applyAlignment="1" applyProtection="1">
      <alignment horizontal="right"/>
      <protection locked="0"/>
    </xf>
    <xf numFmtId="1" fontId="4" fillId="4" borderId="13" xfId="0" quotePrefix="1" applyNumberFormat="1" applyFont="1" applyFill="1" applyBorder="1" applyAlignment="1" applyProtection="1">
      <alignment horizontal="right"/>
      <protection locked="0"/>
    </xf>
    <xf numFmtId="1" fontId="4" fillId="4" borderId="33" xfId="0" quotePrefix="1" applyNumberFormat="1" applyFont="1" applyFill="1" applyBorder="1" applyAlignment="1" applyProtection="1">
      <alignment horizontal="right"/>
      <protection locked="0"/>
    </xf>
    <xf numFmtId="1" fontId="4" fillId="5" borderId="34" xfId="0" quotePrefix="1" applyNumberFormat="1" applyFont="1" applyFill="1" applyBorder="1" applyAlignment="1">
      <alignment horizontal="right"/>
    </xf>
    <xf numFmtId="1" fontId="4" fillId="4" borderId="27" xfId="0" applyNumberFormat="1" applyFont="1" applyFill="1" applyBorder="1" applyAlignment="1" applyProtection="1">
      <alignment horizontal="right"/>
      <protection locked="0"/>
    </xf>
    <xf numFmtId="1" fontId="4" fillId="4" borderId="29" xfId="0" quotePrefix="1" applyNumberFormat="1" applyFont="1" applyFill="1" applyBorder="1" applyAlignment="1" applyProtection="1">
      <alignment horizontal="right"/>
      <protection locked="0"/>
    </xf>
    <xf numFmtId="1" fontId="4" fillId="4" borderId="23" xfId="0" quotePrefix="1" applyNumberFormat="1" applyFont="1" applyFill="1" applyBorder="1" applyAlignment="1" applyProtection="1">
      <alignment horizontal="right"/>
      <protection locked="0"/>
    </xf>
    <xf numFmtId="1" fontId="4" fillId="4" borderId="24" xfId="0" quotePrefix="1" applyNumberFormat="1" applyFont="1" applyFill="1" applyBorder="1" applyAlignment="1" applyProtection="1">
      <alignment horizontal="right"/>
      <protection locked="0"/>
    </xf>
    <xf numFmtId="1" fontId="4" fillId="4" borderId="30" xfId="0" quotePrefix="1" applyNumberFormat="1" applyFont="1" applyFill="1" applyBorder="1" applyAlignment="1" applyProtection="1">
      <alignment horizontal="right"/>
      <protection locked="0"/>
    </xf>
    <xf numFmtId="1" fontId="4" fillId="4" borderId="26" xfId="0" quotePrefix="1" applyNumberFormat="1" applyFont="1" applyFill="1" applyBorder="1" applyAlignment="1" applyProtection="1">
      <alignment horizontal="right"/>
      <protection locked="0"/>
    </xf>
    <xf numFmtId="1" fontId="4" fillId="5" borderId="27" xfId="0" quotePrefix="1" applyNumberFormat="1" applyFont="1" applyFill="1" applyBorder="1" applyAlignment="1">
      <alignment horizontal="right"/>
    </xf>
    <xf numFmtId="1" fontId="4" fillId="0" borderId="88" xfId="0" applyNumberFormat="1" applyFont="1" applyBorder="1" applyAlignment="1">
      <alignment horizontal="right"/>
    </xf>
    <xf numFmtId="1" fontId="4" fillId="4" borderId="14" xfId="0" applyNumberFormat="1" applyFont="1" applyFill="1" applyBorder="1" applyAlignment="1" applyProtection="1">
      <alignment horizontal="right"/>
      <protection locked="0"/>
    </xf>
    <xf numFmtId="1" fontId="4" fillId="4" borderId="15" xfId="0" applyNumberFormat="1" applyFont="1" applyFill="1" applyBorder="1" applyAlignment="1" applyProtection="1">
      <alignment horizontal="right"/>
      <protection locked="0"/>
    </xf>
    <xf numFmtId="1" fontId="4" fillId="5" borderId="15" xfId="0" applyNumberFormat="1" applyFont="1" applyFill="1" applyBorder="1" applyAlignment="1">
      <alignment horizontal="right"/>
    </xf>
    <xf numFmtId="1" fontId="4" fillId="5" borderId="8" xfId="0" applyNumberFormat="1" applyFont="1" applyFill="1" applyBorder="1" applyAlignment="1">
      <alignment horizontal="right"/>
    </xf>
    <xf numFmtId="1" fontId="4" fillId="4" borderId="89" xfId="0" quotePrefix="1" applyNumberFormat="1" applyFont="1" applyFill="1" applyBorder="1" applyAlignment="1" applyProtection="1">
      <alignment horizontal="right"/>
      <protection locked="0"/>
    </xf>
    <xf numFmtId="1" fontId="4" fillId="4" borderId="10" xfId="0" applyNumberFormat="1" applyFont="1" applyFill="1" applyBorder="1" applyAlignment="1" applyProtection="1">
      <alignment horizontal="right"/>
      <protection locked="0"/>
    </xf>
    <xf numFmtId="1" fontId="4" fillId="4" borderId="17" xfId="0" quotePrefix="1" applyNumberFormat="1" applyFont="1" applyFill="1" applyBorder="1" applyAlignment="1" applyProtection="1">
      <alignment horizontal="right"/>
      <protection locked="0"/>
    </xf>
    <xf numFmtId="1" fontId="4" fillId="5" borderId="17" xfId="0" applyNumberFormat="1" applyFont="1" applyFill="1" applyBorder="1" applyAlignment="1">
      <alignment horizontal="right"/>
    </xf>
    <xf numFmtId="1" fontId="4" fillId="4" borderId="90" xfId="0" applyNumberFormat="1" applyFont="1" applyFill="1" applyBorder="1" applyAlignment="1" applyProtection="1">
      <alignment horizontal="right"/>
      <protection locked="0"/>
    </xf>
    <xf numFmtId="1" fontId="4" fillId="0" borderId="7" xfId="0" applyNumberFormat="1" applyFont="1" applyBorder="1"/>
    <xf numFmtId="1" fontId="4" fillId="0" borderId="9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94" xfId="0" applyNumberFormat="1" applyFont="1" applyBorder="1" applyAlignment="1">
      <alignment horizontal="center" vertical="center" wrapText="1"/>
    </xf>
    <xf numFmtId="0" fontId="4" fillId="0" borderId="93" xfId="0" applyFont="1" applyBorder="1" applyAlignment="1">
      <alignment horizontal="center" vertical="center" wrapText="1"/>
    </xf>
    <xf numFmtId="0" fontId="4" fillId="0" borderId="95" xfId="0" applyFont="1" applyBorder="1" applyAlignment="1">
      <alignment horizontal="center" vertical="center" wrapText="1"/>
    </xf>
    <xf numFmtId="1" fontId="4" fillId="4" borderId="96" xfId="0" applyNumberFormat="1" applyFont="1" applyFill="1" applyBorder="1" applyAlignment="1" applyProtection="1">
      <alignment horizontal="right"/>
      <protection locked="0"/>
    </xf>
    <xf numFmtId="1" fontId="4" fillId="4" borderId="25" xfId="0" applyNumberFormat="1" applyFont="1" applyFill="1" applyBorder="1" applyAlignment="1" applyProtection="1">
      <alignment horizontal="right"/>
      <protection locked="0"/>
    </xf>
    <xf numFmtId="1" fontId="4" fillId="6" borderId="0" xfId="0" applyNumberFormat="1" applyFont="1" applyFill="1"/>
    <xf numFmtId="1" fontId="4" fillId="4" borderId="72" xfId="0" applyNumberFormat="1" applyFont="1" applyFill="1" applyBorder="1" applyAlignment="1" applyProtection="1">
      <alignment horizontal="right"/>
      <protection locked="0"/>
    </xf>
    <xf numFmtId="1" fontId="4" fillId="4" borderId="98" xfId="0" applyNumberFormat="1" applyFont="1" applyFill="1" applyBorder="1" applyAlignment="1" applyProtection="1">
      <alignment horizontal="right"/>
      <protection locked="0"/>
    </xf>
    <xf numFmtId="1" fontId="4" fillId="5" borderId="61" xfId="0" applyNumberFormat="1" applyFont="1" applyFill="1" applyBorder="1" applyAlignment="1">
      <alignment horizontal="right"/>
    </xf>
    <xf numFmtId="1" fontId="4" fillId="4" borderId="71" xfId="0" applyNumberFormat="1" applyFont="1" applyFill="1" applyBorder="1" applyAlignment="1" applyProtection="1">
      <alignment horizontal="right"/>
      <protection locked="0"/>
    </xf>
    <xf numFmtId="1" fontId="4" fillId="4" borderId="99" xfId="0" applyNumberFormat="1" applyFont="1" applyFill="1" applyBorder="1" applyAlignment="1" applyProtection="1">
      <alignment horizontal="right"/>
      <protection locked="0"/>
    </xf>
    <xf numFmtId="1" fontId="4" fillId="5" borderId="20" xfId="0" applyNumberFormat="1" applyFont="1" applyFill="1" applyBorder="1" applyAlignment="1">
      <alignment horizontal="right"/>
    </xf>
    <xf numFmtId="1" fontId="4" fillId="4" borderId="32" xfId="0" applyNumberFormat="1" applyFont="1" applyFill="1" applyBorder="1" applyAlignment="1" applyProtection="1">
      <alignment horizontal="right"/>
      <protection locked="0"/>
    </xf>
    <xf numFmtId="1" fontId="4" fillId="5" borderId="99" xfId="0" applyNumberFormat="1" applyFont="1" applyFill="1" applyBorder="1" applyAlignment="1">
      <alignment horizontal="right"/>
    </xf>
    <xf numFmtId="1" fontId="5" fillId="0" borderId="91" xfId="0" applyNumberFormat="1" applyFont="1" applyBorder="1" applyAlignment="1" applyProtection="1">
      <alignment horizontal="left"/>
      <protection hidden="1"/>
    </xf>
    <xf numFmtId="1" fontId="5" fillId="0" borderId="7" xfId="0" applyNumberFormat="1" applyFont="1" applyBorder="1" applyAlignment="1" applyProtection="1">
      <alignment horizontal="left"/>
      <protection hidden="1"/>
    </xf>
    <xf numFmtId="1" fontId="5" fillId="0" borderId="3" xfId="0" applyNumberFormat="1" applyFont="1" applyBorder="1" applyAlignment="1" applyProtection="1">
      <alignment horizontal="left"/>
      <protection hidden="1"/>
    </xf>
    <xf numFmtId="1" fontId="4" fillId="0" borderId="100" xfId="0" applyNumberFormat="1" applyFont="1" applyBorder="1" applyAlignment="1" applyProtection="1">
      <alignment horizontal="center" vertical="center" wrapText="1"/>
      <protection hidden="1"/>
    </xf>
    <xf numFmtId="1" fontId="4" fillId="0" borderId="13" xfId="0" applyNumberFormat="1" applyFont="1" applyBorder="1" applyAlignment="1" applyProtection="1">
      <alignment horizontal="center" vertical="center" wrapText="1"/>
      <protection hidden="1"/>
    </xf>
    <xf numFmtId="1" fontId="4" fillId="0" borderId="25" xfId="0" applyNumberFormat="1" applyFont="1" applyBorder="1" applyProtection="1">
      <protection hidden="1"/>
    </xf>
    <xf numFmtId="1" fontId="4" fillId="4" borderId="105" xfId="0" applyNumberFormat="1" applyFont="1" applyFill="1" applyBorder="1" applyAlignment="1" applyProtection="1">
      <alignment horizontal="right"/>
      <protection locked="0"/>
    </xf>
    <xf numFmtId="1" fontId="4" fillId="4" borderId="106" xfId="0" applyNumberFormat="1" applyFont="1" applyFill="1" applyBorder="1" applyAlignment="1" applyProtection="1">
      <alignment horizontal="right"/>
      <protection locked="0"/>
    </xf>
    <xf numFmtId="1" fontId="4" fillId="4" borderId="28" xfId="0" applyNumberFormat="1" applyFont="1" applyFill="1" applyBorder="1" applyAlignment="1" applyProtection="1">
      <alignment horizontal="right"/>
      <protection locked="0"/>
    </xf>
    <xf numFmtId="1" fontId="4" fillId="0" borderId="44" xfId="0" applyNumberFormat="1" applyFont="1" applyBorder="1" applyProtection="1">
      <protection hidden="1"/>
    </xf>
    <xf numFmtId="1" fontId="4" fillId="4" borderId="107" xfId="0" applyNumberFormat="1" applyFont="1" applyFill="1" applyBorder="1" applyAlignment="1" applyProtection="1">
      <alignment horizontal="right"/>
      <protection locked="0"/>
    </xf>
    <xf numFmtId="1" fontId="4" fillId="4" borderId="108" xfId="0" applyNumberFormat="1" applyFont="1" applyFill="1" applyBorder="1" applyAlignment="1" applyProtection="1">
      <alignment horizontal="right"/>
      <protection locked="0"/>
    </xf>
    <xf numFmtId="1" fontId="4" fillId="4" borderId="46" xfId="0" applyNumberFormat="1" applyFont="1" applyFill="1" applyBorder="1" applyAlignment="1" applyProtection="1">
      <alignment horizontal="right"/>
      <protection locked="0"/>
    </xf>
    <xf numFmtId="1" fontId="4" fillId="4" borderId="47" xfId="0" applyNumberFormat="1" applyFont="1" applyFill="1" applyBorder="1" applyAlignment="1" applyProtection="1">
      <alignment horizontal="right"/>
      <protection locked="0"/>
    </xf>
    <xf numFmtId="1" fontId="4" fillId="4" borderId="109" xfId="0" applyNumberFormat="1" applyFont="1" applyFill="1" applyBorder="1" applyAlignment="1" applyProtection="1">
      <alignment horizontal="right"/>
      <protection locked="0"/>
    </xf>
    <xf numFmtId="1" fontId="4" fillId="4" borderId="110" xfId="0" applyNumberFormat="1" applyFont="1" applyFill="1" applyBorder="1" applyAlignment="1" applyProtection="1">
      <alignment horizontal="right"/>
      <protection locked="0"/>
    </xf>
    <xf numFmtId="1" fontId="4" fillId="4" borderId="52" xfId="0" applyNumberFormat="1" applyFont="1" applyFill="1" applyBorder="1" applyAlignment="1" applyProtection="1">
      <alignment horizontal="right"/>
      <protection locked="0"/>
    </xf>
    <xf numFmtId="1" fontId="4" fillId="4" borderId="53" xfId="0" applyNumberFormat="1" applyFont="1" applyFill="1" applyBorder="1" applyAlignment="1" applyProtection="1">
      <alignment horizontal="right"/>
      <protection locked="0"/>
    </xf>
    <xf numFmtId="1" fontId="4" fillId="0" borderId="88" xfId="0" applyNumberFormat="1" applyFont="1" applyBorder="1" applyAlignment="1" applyProtection="1">
      <alignment horizontal="center"/>
      <protection hidden="1"/>
    </xf>
    <xf numFmtId="1" fontId="4" fillId="0" borderId="10" xfId="0" applyNumberFormat="1" applyFont="1" applyBorder="1" applyAlignment="1">
      <alignment horizontal="right"/>
    </xf>
    <xf numFmtId="1" fontId="4" fillId="0" borderId="100" xfId="0" applyNumberFormat="1" applyFont="1" applyBorder="1" applyAlignment="1">
      <alignment horizontal="right"/>
    </xf>
    <xf numFmtId="1" fontId="4" fillId="0" borderId="15" xfId="0" applyNumberFormat="1" applyFont="1" applyBorder="1" applyAlignment="1">
      <alignment horizontal="right"/>
    </xf>
    <xf numFmtId="1" fontId="4" fillId="0" borderId="8" xfId="0" applyNumberFormat="1" applyFont="1" applyBorder="1" applyAlignment="1">
      <alignment horizontal="right"/>
    </xf>
    <xf numFmtId="1" fontId="2" fillId="0" borderId="0" xfId="0" applyNumberFormat="1" applyFont="1" applyProtection="1">
      <protection hidden="1"/>
    </xf>
    <xf numFmtId="1" fontId="4" fillId="4" borderId="44" xfId="0" applyNumberFormat="1" applyFont="1" applyFill="1" applyBorder="1" applyAlignment="1" applyProtection="1">
      <alignment horizontal="right"/>
      <protection locked="0"/>
    </xf>
    <xf numFmtId="1" fontId="4" fillId="0" borderId="97" xfId="0" applyNumberFormat="1" applyFont="1" applyBorder="1" applyAlignment="1">
      <alignment horizontal="right"/>
    </xf>
    <xf numFmtId="1" fontId="4" fillId="0" borderId="65" xfId="0" applyNumberFormat="1" applyFont="1" applyBorder="1" applyProtection="1">
      <protection hidden="1"/>
    </xf>
    <xf numFmtId="1" fontId="4" fillId="4" borderId="65" xfId="0" applyNumberFormat="1" applyFont="1" applyFill="1" applyBorder="1" applyAlignment="1" applyProtection="1">
      <alignment horizontal="right"/>
      <protection locked="0"/>
    </xf>
    <xf numFmtId="1" fontId="4" fillId="0" borderId="93" xfId="0" applyNumberFormat="1" applyFont="1" applyBorder="1" applyAlignment="1" applyProtection="1">
      <alignment horizontal="center" vertical="center" wrapText="1"/>
      <protection hidden="1"/>
    </xf>
    <xf numFmtId="1" fontId="4" fillId="0" borderId="15" xfId="0" applyNumberFormat="1" applyFont="1" applyBorder="1" applyAlignment="1" applyProtection="1">
      <alignment horizontal="center" vertical="center" wrapText="1"/>
      <protection hidden="1"/>
    </xf>
    <xf numFmtId="1" fontId="4" fillId="0" borderId="10" xfId="0" applyNumberFormat="1" applyFont="1" applyBorder="1" applyAlignment="1">
      <alignment horizontal="center" vertical="center"/>
    </xf>
    <xf numFmtId="1" fontId="4" fillId="2" borderId="25" xfId="0" applyNumberFormat="1" applyFont="1" applyFill="1" applyBorder="1" applyAlignment="1">
      <alignment horizontal="right"/>
    </xf>
    <xf numFmtId="1" fontId="4" fillId="2" borderId="44" xfId="0" applyNumberFormat="1" applyFont="1" applyFill="1" applyBorder="1" applyAlignment="1">
      <alignment horizontal="right"/>
    </xf>
    <xf numFmtId="1" fontId="4" fillId="2" borderId="97" xfId="0" applyNumberFormat="1" applyFont="1" applyFill="1" applyBorder="1" applyAlignment="1">
      <alignment horizontal="right"/>
    </xf>
    <xf numFmtId="1" fontId="4" fillId="0" borderId="93" xfId="0" applyNumberFormat="1" applyFont="1" applyBorder="1" applyAlignment="1">
      <alignment horizontal="right"/>
    </xf>
    <xf numFmtId="1" fontId="4" fillId="4" borderId="58" xfId="0" applyNumberFormat="1" applyFont="1" applyFill="1" applyBorder="1" applyAlignment="1" applyProtection="1">
      <alignment horizontal="right"/>
      <protection locked="0"/>
    </xf>
    <xf numFmtId="1" fontId="4" fillId="2" borderId="88" xfId="0" applyNumberFormat="1" applyFont="1" applyFill="1" applyBorder="1" applyAlignment="1">
      <alignment horizontal="right"/>
    </xf>
    <xf numFmtId="1" fontId="4" fillId="2" borderId="93" xfId="0" applyNumberFormat="1" applyFont="1" applyFill="1" applyBorder="1" applyAlignment="1">
      <alignment horizontal="right"/>
    </xf>
    <xf numFmtId="1" fontId="4" fillId="2" borderId="15" xfId="0" applyNumberFormat="1" applyFont="1" applyFill="1" applyBorder="1" applyAlignment="1">
      <alignment horizontal="right"/>
    </xf>
    <xf numFmtId="1" fontId="4" fillId="2" borderId="10" xfId="0" applyNumberFormat="1" applyFont="1" applyFill="1" applyBorder="1" applyAlignment="1">
      <alignment horizontal="right"/>
    </xf>
    <xf numFmtId="1" fontId="2" fillId="0" borderId="112" xfId="0" applyNumberFormat="1" applyFont="1" applyBorder="1" applyProtection="1">
      <protection hidden="1"/>
    </xf>
    <xf numFmtId="1" fontId="4" fillId="0" borderId="6" xfId="0" applyNumberFormat="1" applyFont="1" applyBorder="1" applyAlignment="1" applyProtection="1">
      <alignment horizontal="center" vertical="center" wrapText="1"/>
      <protection hidden="1"/>
    </xf>
    <xf numFmtId="1" fontId="4" fillId="0" borderId="88" xfId="0" applyNumberFormat="1" applyFont="1" applyBorder="1" applyAlignment="1" applyProtection="1">
      <alignment horizontal="center" vertical="center" wrapText="1"/>
      <protection hidden="1"/>
    </xf>
    <xf numFmtId="1" fontId="2" fillId="0" borderId="31" xfId="0" applyNumberFormat="1" applyFont="1" applyBorder="1"/>
    <xf numFmtId="1" fontId="4" fillId="0" borderId="0" xfId="0" applyNumberFormat="1" applyFont="1" applyAlignment="1" applyProtection="1">
      <alignment horizontal="center" vertical="center"/>
      <protection hidden="1"/>
    </xf>
    <xf numFmtId="1" fontId="4" fillId="0" borderId="113" xfId="0" applyNumberFormat="1" applyFont="1" applyBorder="1" applyAlignment="1" applyProtection="1">
      <alignment vertical="center" wrapText="1"/>
      <protection hidden="1"/>
    </xf>
    <xf numFmtId="1" fontId="4" fillId="0" borderId="114" xfId="0" applyNumberFormat="1" applyFont="1" applyBorder="1" applyAlignment="1" applyProtection="1">
      <alignment vertical="center" wrapText="1"/>
      <protection hidden="1"/>
    </xf>
    <xf numFmtId="1" fontId="4" fillId="0" borderId="65" xfId="0" applyNumberFormat="1" applyFont="1" applyBorder="1" applyAlignment="1" applyProtection="1">
      <alignment vertical="center" wrapText="1"/>
      <protection hidden="1"/>
    </xf>
    <xf numFmtId="1" fontId="5" fillId="0" borderId="0" xfId="0" applyNumberFormat="1" applyFont="1" applyProtection="1">
      <protection hidden="1"/>
    </xf>
    <xf numFmtId="1" fontId="4" fillId="0" borderId="8" xfId="0" applyNumberFormat="1" applyFont="1" applyBorder="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 fontId="4" fillId="0" borderId="6" xfId="0" applyNumberFormat="1" applyFont="1" applyBorder="1" applyAlignment="1" applyProtection="1">
      <alignment vertical="center" wrapText="1"/>
      <protection hidden="1"/>
    </xf>
    <xf numFmtId="1" fontId="4" fillId="4" borderId="93" xfId="0" applyNumberFormat="1" applyFont="1" applyFill="1" applyBorder="1" applyAlignment="1" applyProtection="1">
      <alignment horizontal="right"/>
      <protection locked="0"/>
    </xf>
    <xf numFmtId="1" fontId="4" fillId="2" borderId="25" xfId="0" applyNumberFormat="1" applyFont="1" applyFill="1" applyBorder="1" applyAlignment="1" applyProtection="1">
      <alignment vertical="center" wrapText="1"/>
      <protection hidden="1"/>
    </xf>
    <xf numFmtId="1" fontId="4" fillId="4" borderId="39" xfId="0" applyNumberFormat="1" applyFont="1" applyFill="1" applyBorder="1" applyAlignment="1" applyProtection="1">
      <alignment horizontal="right"/>
      <protection locked="0"/>
    </xf>
    <xf numFmtId="1" fontId="4" fillId="4" borderId="115" xfId="0" applyNumberFormat="1" applyFont="1" applyFill="1" applyBorder="1" applyAlignment="1" applyProtection="1">
      <alignment horizontal="right"/>
      <protection locked="0"/>
    </xf>
    <xf numFmtId="1" fontId="4" fillId="4" borderId="18" xfId="0" applyNumberFormat="1" applyFont="1" applyFill="1" applyBorder="1" applyAlignment="1" applyProtection="1">
      <alignment horizontal="right"/>
      <protection locked="0"/>
    </xf>
    <xf numFmtId="1" fontId="4" fillId="4" borderId="116" xfId="0" applyNumberFormat="1" applyFont="1" applyFill="1" applyBorder="1" applyAlignment="1" applyProtection="1">
      <alignment horizontal="right"/>
      <protection locked="0"/>
    </xf>
    <xf numFmtId="1" fontId="4" fillId="5" borderId="108" xfId="0" applyNumberFormat="1" applyFont="1" applyFill="1" applyBorder="1" applyAlignment="1">
      <alignment horizontal="right"/>
    </xf>
    <xf numFmtId="1" fontId="4" fillId="9" borderId="0" xfId="0" applyNumberFormat="1" applyFont="1" applyFill="1"/>
    <xf numFmtId="1" fontId="4" fillId="4" borderId="35" xfId="0" applyNumberFormat="1" applyFont="1" applyFill="1" applyBorder="1" applyAlignment="1" applyProtection="1">
      <alignment horizontal="right"/>
      <protection locked="0"/>
    </xf>
    <xf numFmtId="1" fontId="4" fillId="4" borderId="104" xfId="0" applyNumberFormat="1" applyFont="1" applyFill="1" applyBorder="1" applyAlignment="1" applyProtection="1">
      <alignment horizontal="right"/>
      <protection locked="0"/>
    </xf>
    <xf numFmtId="1" fontId="4" fillId="0" borderId="122" xfId="0" applyNumberFormat="1" applyFont="1" applyBorder="1" applyAlignment="1" applyProtection="1">
      <alignment horizontal="center" vertical="center" wrapText="1"/>
      <protection hidden="1"/>
    </xf>
    <xf numFmtId="1" fontId="4" fillId="0" borderId="25" xfId="0" applyNumberFormat="1" applyFont="1" applyBorder="1" applyAlignment="1">
      <alignment horizontal="center" vertical="center" wrapText="1"/>
    </xf>
    <xf numFmtId="1" fontId="4" fillId="0" borderId="44" xfId="0" applyNumberFormat="1" applyFont="1" applyBorder="1" applyAlignment="1">
      <alignment horizontal="center" vertical="center"/>
    </xf>
    <xf numFmtId="1" fontId="4" fillId="3" borderId="0" xfId="0" applyNumberFormat="1" applyFont="1" applyFill="1" applyProtection="1">
      <protection hidden="1"/>
    </xf>
    <xf numFmtId="1" fontId="4" fillId="0" borderId="65" xfId="0" applyNumberFormat="1" applyFont="1" applyBorder="1" applyAlignment="1">
      <alignment horizontal="center" vertical="center"/>
    </xf>
    <xf numFmtId="1" fontId="4" fillId="0" borderId="32" xfId="0" applyNumberFormat="1" applyFont="1" applyBorder="1" applyAlignment="1">
      <alignment horizontal="center" wrapText="1"/>
    </xf>
    <xf numFmtId="1" fontId="4" fillId="0" borderId="122" xfId="0" applyNumberFormat="1" applyFont="1" applyBorder="1" applyAlignment="1">
      <alignment horizontal="right"/>
    </xf>
    <xf numFmtId="1" fontId="4" fillId="0" borderId="22" xfId="0" applyNumberFormat="1" applyFont="1" applyBorder="1" applyAlignment="1">
      <alignment horizontal="right"/>
    </xf>
    <xf numFmtId="1" fontId="4" fillId="0" borderId="20" xfId="0" applyNumberFormat="1" applyFont="1" applyBorder="1" applyAlignment="1">
      <alignment horizontal="right" wrapText="1"/>
    </xf>
    <xf numFmtId="1" fontId="4" fillId="0" borderId="90" xfId="0" applyNumberFormat="1" applyFont="1" applyBorder="1" applyAlignment="1" applyProtection="1">
      <alignment horizontal="center" vertical="center" wrapText="1"/>
      <protection hidden="1"/>
    </xf>
    <xf numFmtId="0" fontId="4" fillId="10" borderId="25" xfId="0" applyFont="1" applyFill="1" applyBorder="1" applyAlignment="1">
      <alignment horizontal="right"/>
    </xf>
    <xf numFmtId="0" fontId="4" fillId="11" borderId="23" xfId="0" applyFont="1" applyFill="1" applyBorder="1" applyAlignment="1" applyProtection="1">
      <alignment horizontal="right"/>
      <protection locked="0"/>
    </xf>
    <xf numFmtId="0" fontId="4" fillId="11" borderId="27" xfId="0" applyFont="1" applyFill="1" applyBorder="1" applyAlignment="1" applyProtection="1">
      <alignment horizontal="right"/>
      <protection locked="0"/>
    </xf>
    <xf numFmtId="0" fontId="4" fillId="11" borderId="24" xfId="0" applyFont="1" applyFill="1" applyBorder="1" applyAlignment="1" applyProtection="1">
      <alignment horizontal="right"/>
      <protection locked="0"/>
    </xf>
    <xf numFmtId="1" fontId="4" fillId="0" borderId="0" xfId="0" applyNumberFormat="1" applyFont="1" applyProtection="1">
      <protection locked="0"/>
    </xf>
    <xf numFmtId="0" fontId="4" fillId="10" borderId="44" xfId="0" applyFont="1" applyFill="1" applyBorder="1" applyAlignment="1">
      <alignment horizontal="right"/>
    </xf>
    <xf numFmtId="0" fontId="4" fillId="11" borderId="48" xfId="0" applyFont="1" applyFill="1" applyBorder="1" applyAlignment="1" applyProtection="1">
      <alignment horizontal="right"/>
      <protection locked="0"/>
    </xf>
    <xf numFmtId="0" fontId="4" fillId="11" borderId="46" xfId="0" applyFont="1" applyFill="1" applyBorder="1" applyAlignment="1" applyProtection="1">
      <alignment horizontal="right"/>
      <protection locked="0"/>
    </xf>
    <xf numFmtId="0" fontId="4" fillId="11" borderId="50" xfId="0" applyFont="1" applyFill="1" applyBorder="1" applyAlignment="1" applyProtection="1">
      <alignment horizontal="right"/>
      <protection locked="0"/>
    </xf>
    <xf numFmtId="0" fontId="4" fillId="10" borderId="65" xfId="0" applyFont="1" applyFill="1" applyBorder="1" applyAlignment="1">
      <alignment horizontal="right"/>
    </xf>
    <xf numFmtId="0" fontId="4" fillId="11" borderId="68" xfId="0" applyFont="1" applyFill="1" applyBorder="1" applyAlignment="1" applyProtection="1">
      <alignment horizontal="right"/>
      <protection locked="0"/>
    </xf>
    <xf numFmtId="0" fontId="4" fillId="11" borderId="58" xfId="0" applyFont="1" applyFill="1" applyBorder="1" applyAlignment="1" applyProtection="1">
      <alignment horizontal="right"/>
      <protection locked="0"/>
    </xf>
    <xf numFmtId="0" fontId="4" fillId="11" borderId="70" xfId="0" applyFont="1" applyFill="1" applyBorder="1" applyAlignment="1" applyProtection="1">
      <alignment horizontal="right"/>
      <protection locked="0"/>
    </xf>
    <xf numFmtId="0" fontId="4" fillId="0" borderId="123" xfId="0" applyFont="1" applyBorder="1" applyAlignment="1">
      <alignment horizontal="center"/>
    </xf>
    <xf numFmtId="0" fontId="4" fillId="0" borderId="123" xfId="0" applyFont="1" applyBorder="1" applyAlignment="1">
      <alignment horizontal="right"/>
    </xf>
    <xf numFmtId="0" fontId="4" fillId="0" borderId="122" xfId="0" applyFont="1" applyBorder="1" applyAlignment="1">
      <alignment horizontal="right"/>
    </xf>
    <xf numFmtId="0" fontId="4" fillId="0" borderId="15" xfId="0" applyFont="1" applyBorder="1" applyAlignment="1">
      <alignment horizontal="right"/>
    </xf>
    <xf numFmtId="0" fontId="4" fillId="0" borderId="90" xfId="0" applyFont="1" applyBorder="1" applyAlignment="1">
      <alignment horizontal="right"/>
    </xf>
    <xf numFmtId="0" fontId="4" fillId="0" borderId="0" xfId="0" applyFont="1" applyAlignment="1">
      <alignment horizontal="right"/>
    </xf>
    <xf numFmtId="0" fontId="4" fillId="0" borderId="25" xfId="0" applyFont="1" applyBorder="1" applyAlignment="1">
      <alignment horizontal="center" vertical="center" wrapText="1"/>
    </xf>
    <xf numFmtId="0" fontId="4" fillId="12" borderId="25" xfId="0" applyFont="1" applyFill="1" applyBorder="1" applyAlignment="1" applyProtection="1">
      <alignment horizontal="right" vertical="center"/>
      <protection locked="0"/>
    </xf>
    <xf numFmtId="0" fontId="4" fillId="12" borderId="23" xfId="0" applyFont="1" applyFill="1" applyBorder="1" applyAlignment="1" applyProtection="1">
      <alignment horizontal="right" vertical="center"/>
      <protection locked="0"/>
    </xf>
    <xf numFmtId="0" fontId="4" fillId="12" borderId="28" xfId="0" applyFont="1" applyFill="1" applyBorder="1" applyAlignment="1" applyProtection="1">
      <alignment horizontal="right" vertical="center"/>
      <protection locked="0"/>
    </xf>
    <xf numFmtId="0" fontId="4" fillId="12" borderId="106" xfId="0" applyFont="1" applyFill="1" applyBorder="1" applyAlignment="1" applyProtection="1">
      <alignment horizontal="right" vertical="center"/>
      <protection locked="0"/>
    </xf>
    <xf numFmtId="0" fontId="4" fillId="12" borderId="27" xfId="0" applyFont="1" applyFill="1" applyBorder="1" applyAlignment="1" applyProtection="1">
      <alignment horizontal="right" vertical="center"/>
      <protection locked="0"/>
    </xf>
    <xf numFmtId="0" fontId="4" fillId="12" borderId="30" xfId="0" applyFont="1" applyFill="1" applyBorder="1" applyAlignment="1" applyProtection="1">
      <alignment horizontal="right" vertical="center"/>
      <protection locked="0"/>
    </xf>
    <xf numFmtId="0" fontId="4" fillId="0" borderId="44" xfId="0" applyFont="1" applyBorder="1" applyAlignment="1">
      <alignment horizontal="center" vertical="center"/>
    </xf>
    <xf numFmtId="0" fontId="4" fillId="12" borderId="44" xfId="0" applyFont="1" applyFill="1" applyBorder="1" applyAlignment="1" applyProtection="1">
      <alignment horizontal="right" vertical="center"/>
      <protection locked="0"/>
    </xf>
    <xf numFmtId="0" fontId="4" fillId="12" borderId="48" xfId="0" applyFont="1" applyFill="1" applyBorder="1" applyAlignment="1" applyProtection="1">
      <alignment horizontal="right" vertical="center"/>
      <protection locked="0"/>
    </xf>
    <xf numFmtId="0" fontId="4" fillId="12" borderId="47" xfId="0" applyFont="1" applyFill="1" applyBorder="1" applyAlignment="1" applyProtection="1">
      <alignment horizontal="right" vertical="center"/>
      <protection locked="0"/>
    </xf>
    <xf numFmtId="0" fontId="4" fillId="12" borderId="108" xfId="0" applyFont="1" applyFill="1" applyBorder="1" applyAlignment="1" applyProtection="1">
      <alignment horizontal="right" vertical="center"/>
      <protection locked="0"/>
    </xf>
    <xf numFmtId="0" fontId="4" fillId="12" borderId="46" xfId="0"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12" borderId="32" xfId="0" applyFont="1" applyFill="1" applyBorder="1" applyAlignment="1" applyProtection="1">
      <alignment horizontal="right" vertical="center"/>
      <protection locked="0"/>
    </xf>
    <xf numFmtId="0" fontId="4" fillId="12" borderId="20" xfId="0" applyFont="1" applyFill="1" applyBorder="1" applyAlignment="1" applyProtection="1">
      <alignment horizontal="right" vertical="center"/>
      <protection locked="0"/>
    </xf>
    <xf numFmtId="0" fontId="4" fillId="12" borderId="35" xfId="0" applyFont="1" applyFill="1" applyBorder="1" applyAlignment="1" applyProtection="1">
      <alignment horizontal="right" vertical="center"/>
      <protection locked="0"/>
    </xf>
    <xf numFmtId="0" fontId="4" fillId="12" borderId="104" xfId="0" applyFont="1" applyFill="1" applyBorder="1" applyAlignment="1" applyProtection="1">
      <alignment horizontal="right" vertical="center"/>
      <protection locked="0"/>
    </xf>
    <xf numFmtId="0" fontId="4" fillId="12" borderId="34" xfId="0" applyFont="1" applyFill="1" applyBorder="1" applyAlignment="1" applyProtection="1">
      <alignment horizontal="right" vertical="center"/>
      <protection locked="0"/>
    </xf>
    <xf numFmtId="0" fontId="4" fillId="12" borderId="13" xfId="0" applyFont="1" applyFill="1" applyBorder="1" applyAlignment="1" applyProtection="1">
      <alignment horizontal="right" vertical="center"/>
      <protection locked="0"/>
    </xf>
    <xf numFmtId="0" fontId="4" fillId="0" borderId="123" xfId="0" applyFont="1" applyBorder="1" applyAlignment="1">
      <alignment horizontal="center" vertical="center" wrapText="1"/>
    </xf>
    <xf numFmtId="0" fontId="4" fillId="0" borderId="123" xfId="0" applyFont="1" applyBorder="1" applyAlignment="1">
      <alignment horizontal="right" vertical="center"/>
    </xf>
    <xf numFmtId="0" fontId="4" fillId="0" borderId="122" xfId="0" applyFont="1" applyBorder="1" applyAlignment="1">
      <alignment horizontal="right" vertical="center"/>
    </xf>
    <xf numFmtId="0" fontId="4" fillId="0" borderId="8" xfId="0" applyFont="1" applyBorder="1" applyAlignment="1">
      <alignment horizontal="right" vertical="center" wrapText="1"/>
    </xf>
    <xf numFmtId="0" fontId="4" fillId="0" borderId="100" xfId="0" applyFont="1" applyBorder="1" applyAlignment="1">
      <alignment horizontal="right" vertical="center" wrapText="1"/>
    </xf>
    <xf numFmtId="0" fontId="4" fillId="0" borderId="15" xfId="0" applyFont="1" applyBorder="1" applyAlignment="1">
      <alignment horizontal="right" vertical="center"/>
    </xf>
    <xf numFmtId="0" fontId="4" fillId="0" borderId="8" xfId="0" applyFont="1" applyBorder="1" applyAlignment="1">
      <alignment horizontal="right" vertical="center"/>
    </xf>
    <xf numFmtId="0" fontId="4" fillId="0" borderId="100" xfId="0" applyFont="1" applyBorder="1" applyAlignment="1">
      <alignment horizontal="right" vertical="center"/>
    </xf>
    <xf numFmtId="0" fontId="4" fillId="0" borderId="10" xfId="0" applyFont="1" applyBorder="1" applyAlignment="1">
      <alignment horizontal="right" vertical="center"/>
    </xf>
    <xf numFmtId="0" fontId="4" fillId="5" borderId="123" xfId="0" applyFont="1" applyFill="1" applyBorder="1" applyAlignment="1">
      <alignment horizontal="right" vertical="center"/>
    </xf>
    <xf numFmtId="0" fontId="4" fillId="12" borderId="122" xfId="0" applyFont="1" applyFill="1" applyBorder="1" applyAlignment="1" applyProtection="1">
      <alignment horizontal="right" vertical="center"/>
      <protection locked="0"/>
    </xf>
    <xf numFmtId="0" fontId="4" fillId="5" borderId="100" xfId="0" applyFont="1" applyFill="1" applyBorder="1" applyAlignment="1">
      <alignment horizontal="right" vertical="center" wrapText="1"/>
    </xf>
    <xf numFmtId="0" fontId="4" fillId="12" borderId="100" xfId="0" applyFont="1" applyFill="1" applyBorder="1" applyAlignment="1" applyProtection="1">
      <alignment horizontal="right" vertical="center"/>
      <protection locked="0"/>
    </xf>
    <xf numFmtId="0" fontId="4" fillId="12" borderId="10" xfId="0" applyFont="1" applyFill="1" applyBorder="1" applyAlignment="1" applyProtection="1">
      <alignment horizontal="right" vertical="center"/>
      <protection locked="0"/>
    </xf>
    <xf numFmtId="1" fontId="5" fillId="0" borderId="125" xfId="0" applyNumberFormat="1" applyFont="1" applyBorder="1" applyProtection="1">
      <protection hidden="1"/>
    </xf>
    <xf numFmtId="1" fontId="6" fillId="0" borderId="0" xfId="0" applyNumberFormat="1" applyFont="1" applyProtection="1">
      <protection hidden="1"/>
    </xf>
    <xf numFmtId="1" fontId="4" fillId="0" borderId="123" xfId="0" applyNumberFormat="1" applyFont="1" applyBorder="1" applyAlignment="1" applyProtection="1">
      <alignment horizontal="center" vertical="center" wrapText="1"/>
      <protection hidden="1"/>
    </xf>
    <xf numFmtId="1" fontId="4" fillId="0" borderId="126" xfId="0" applyNumberFormat="1" applyFont="1" applyBorder="1" applyAlignment="1" applyProtection="1">
      <alignment horizontal="center" vertical="center" wrapText="1"/>
      <protection hidden="1"/>
    </xf>
    <xf numFmtId="1" fontId="4" fillId="0" borderId="0" xfId="0" applyNumberFormat="1" applyFont="1" applyAlignment="1" applyProtection="1">
      <alignment horizontal="center" vertical="center" wrapText="1"/>
      <protection hidden="1"/>
    </xf>
    <xf numFmtId="1" fontId="4" fillId="0" borderId="0" xfId="0" applyNumberFormat="1" applyFont="1" applyAlignment="1" applyProtection="1">
      <alignment wrapText="1"/>
      <protection hidden="1"/>
    </xf>
    <xf numFmtId="1" fontId="4" fillId="0" borderId="0" xfId="0" applyNumberFormat="1" applyFont="1" applyAlignment="1">
      <alignment horizontal="right"/>
    </xf>
    <xf numFmtId="1" fontId="2" fillId="0" borderId="0" xfId="0" applyNumberFormat="1" applyFont="1" applyAlignment="1">
      <alignment horizontal="right"/>
    </xf>
    <xf numFmtId="1" fontId="4" fillId="4" borderId="97" xfId="0" applyNumberFormat="1" applyFont="1" applyFill="1" applyBorder="1" applyAlignment="1" applyProtection="1">
      <alignment horizontal="right"/>
      <protection locked="0"/>
    </xf>
    <xf numFmtId="1" fontId="4" fillId="0" borderId="123" xfId="0" applyNumberFormat="1" applyFont="1" applyBorder="1" applyAlignment="1">
      <alignment horizontal="right"/>
    </xf>
    <xf numFmtId="1" fontId="4" fillId="0" borderId="126" xfId="0" applyNumberFormat="1" applyFont="1" applyBorder="1" applyProtection="1">
      <protection hidden="1"/>
    </xf>
    <xf numFmtId="1" fontId="4" fillId="13" borderId="123" xfId="0" applyNumberFormat="1" applyFont="1" applyFill="1" applyBorder="1"/>
    <xf numFmtId="1" fontId="4" fillId="13" borderId="0" xfId="0" applyNumberFormat="1" applyFont="1" applyFill="1"/>
    <xf numFmtId="1" fontId="4" fillId="14" borderId="0" xfId="0" applyNumberFormat="1" applyFont="1" applyFill="1"/>
    <xf numFmtId="1" fontId="7" fillId="3" borderId="126" xfId="0" applyNumberFormat="1" applyFont="1" applyFill="1" applyBorder="1" applyAlignment="1" applyProtection="1">
      <alignment horizontal="left"/>
      <protection hidden="1"/>
    </xf>
    <xf numFmtId="1" fontId="7" fillId="3" borderId="0" xfId="0" quotePrefix="1" applyNumberFormat="1" applyFont="1" applyFill="1" applyAlignment="1" applyProtection="1">
      <alignment horizontal="left"/>
      <protection hidden="1"/>
    </xf>
    <xf numFmtId="1" fontId="4" fillId="3" borderId="25" xfId="0" applyNumberFormat="1" applyFont="1" applyFill="1" applyBorder="1" applyAlignment="1" applyProtection="1">
      <alignment horizontal="left" wrapText="1"/>
      <protection hidden="1"/>
    </xf>
    <xf numFmtId="1" fontId="4" fillId="3" borderId="44" xfId="0" applyNumberFormat="1" applyFont="1" applyFill="1" applyBorder="1" applyAlignment="1" applyProtection="1">
      <alignment horizontal="left" wrapText="1"/>
      <protection hidden="1"/>
    </xf>
    <xf numFmtId="1" fontId="7" fillId="3" borderId="44" xfId="0" applyNumberFormat="1" applyFont="1" applyFill="1" applyBorder="1" applyAlignment="1" applyProtection="1">
      <alignment horizontal="left" wrapText="1"/>
      <protection hidden="1"/>
    </xf>
    <xf numFmtId="1" fontId="4" fillId="3" borderId="32" xfId="0" applyNumberFormat="1" applyFont="1" applyFill="1" applyBorder="1" applyAlignment="1" applyProtection="1">
      <alignment vertical="center" wrapText="1"/>
      <protection hidden="1"/>
    </xf>
    <xf numFmtId="1" fontId="7" fillId="3" borderId="30" xfId="0" applyNumberFormat="1" applyFont="1" applyFill="1" applyBorder="1" applyAlignment="1" applyProtection="1">
      <alignment horizontal="left" wrapText="1"/>
      <protection hidden="1"/>
    </xf>
    <xf numFmtId="1" fontId="7" fillId="3" borderId="13" xfId="0" applyNumberFormat="1" applyFont="1" applyFill="1" applyBorder="1" applyAlignment="1" applyProtection="1">
      <alignment horizontal="left" wrapText="1"/>
      <protection hidden="1"/>
    </xf>
    <xf numFmtId="1" fontId="7" fillId="3" borderId="42" xfId="0" applyNumberFormat="1" applyFont="1" applyFill="1" applyBorder="1" applyAlignment="1" applyProtection="1">
      <alignment horizontal="left" wrapText="1"/>
      <protection hidden="1"/>
    </xf>
    <xf numFmtId="1" fontId="4" fillId="3" borderId="36" xfId="0" applyNumberFormat="1" applyFont="1" applyFill="1" applyBorder="1" applyAlignment="1" applyProtection="1">
      <alignment vertical="center" wrapText="1"/>
      <protection hidden="1"/>
    </xf>
    <xf numFmtId="1" fontId="4" fillId="3" borderId="32" xfId="0" applyNumberFormat="1" applyFont="1" applyFill="1" applyBorder="1" applyAlignment="1" applyProtection="1">
      <alignment horizontal="left" vertical="center" wrapText="1"/>
      <protection hidden="1"/>
    </xf>
    <xf numFmtId="1" fontId="4" fillId="3" borderId="25" xfId="0" applyNumberFormat="1" applyFont="1" applyFill="1" applyBorder="1" applyAlignment="1" applyProtection="1">
      <alignment vertical="center" wrapText="1"/>
      <protection hidden="1"/>
    </xf>
    <xf numFmtId="1" fontId="4" fillId="3" borderId="97" xfId="0" applyNumberFormat="1" applyFont="1" applyFill="1" applyBorder="1" applyAlignment="1" applyProtection="1">
      <alignment horizontal="left" wrapText="1"/>
      <protection hidden="1"/>
    </xf>
    <xf numFmtId="1" fontId="4" fillId="3" borderId="32" xfId="0" applyNumberFormat="1" applyFont="1" applyFill="1" applyBorder="1" applyAlignment="1" applyProtection="1">
      <alignment horizontal="left" wrapText="1"/>
      <protection hidden="1"/>
    </xf>
    <xf numFmtId="1" fontId="4" fillId="3" borderId="24" xfId="0" applyNumberFormat="1" applyFont="1" applyFill="1" applyBorder="1" applyAlignment="1" applyProtection="1">
      <alignment horizontal="right"/>
      <protection locked="0"/>
    </xf>
    <xf numFmtId="1" fontId="4" fillId="3" borderId="22" xfId="0" applyNumberFormat="1" applyFont="1" applyFill="1" applyBorder="1" applyAlignment="1" applyProtection="1">
      <alignment horizontal="right"/>
      <protection locked="0"/>
    </xf>
    <xf numFmtId="1" fontId="4" fillId="3" borderId="43" xfId="0" applyNumberFormat="1" applyFont="1" applyFill="1" applyBorder="1" applyAlignment="1" applyProtection="1">
      <alignment horizontal="right"/>
      <protection locked="0"/>
    </xf>
    <xf numFmtId="1" fontId="4" fillId="3" borderId="50" xfId="0" applyNumberFormat="1" applyFont="1" applyFill="1" applyBorder="1" applyAlignment="1" applyProtection="1">
      <alignment horizontal="right"/>
      <protection locked="0"/>
    </xf>
    <xf numFmtId="1" fontId="4" fillId="3" borderId="56" xfId="0" applyNumberFormat="1" applyFont="1" applyFill="1" applyBorder="1" applyAlignment="1" applyProtection="1">
      <alignment horizontal="right"/>
      <protection locked="0"/>
    </xf>
    <xf numFmtId="1" fontId="4" fillId="3" borderId="63" xfId="0" applyNumberFormat="1" applyFont="1" applyFill="1" applyBorder="1" applyAlignment="1" applyProtection="1">
      <alignment horizontal="right"/>
      <protection locked="0"/>
    </xf>
    <xf numFmtId="1" fontId="4" fillId="3" borderId="42" xfId="0" quotePrefix="1" applyNumberFormat="1" applyFont="1" applyFill="1" applyBorder="1" applyAlignment="1" applyProtection="1">
      <alignment horizontal="right"/>
      <protection locked="0"/>
    </xf>
    <xf numFmtId="1" fontId="4" fillId="3" borderId="13" xfId="0" quotePrefix="1" applyNumberFormat="1" applyFont="1" applyFill="1" applyBorder="1" applyAlignment="1" applyProtection="1">
      <alignment horizontal="right"/>
      <protection locked="0"/>
    </xf>
    <xf numFmtId="1" fontId="4" fillId="3" borderId="30" xfId="0" quotePrefix="1" applyNumberFormat="1" applyFont="1" applyFill="1" applyBorder="1" applyAlignment="1" applyProtection="1">
      <alignment horizontal="right"/>
      <protection locked="0"/>
    </xf>
    <xf numFmtId="1" fontId="4" fillId="3" borderId="90" xfId="0" applyNumberFormat="1" applyFont="1" applyFill="1" applyBorder="1" applyAlignment="1" applyProtection="1">
      <alignment horizontal="right"/>
      <protection locked="0"/>
    </xf>
    <xf numFmtId="1" fontId="4" fillId="3" borderId="25" xfId="0" applyNumberFormat="1" applyFont="1" applyFill="1" applyBorder="1" applyAlignment="1" applyProtection="1">
      <alignment horizontal="left"/>
      <protection hidden="1"/>
    </xf>
    <xf numFmtId="1" fontId="4" fillId="3" borderId="44" xfId="0" applyNumberFormat="1" applyFont="1" applyFill="1" applyBorder="1" applyAlignment="1" applyProtection="1">
      <alignment horizontal="left"/>
      <protection hidden="1"/>
    </xf>
    <xf numFmtId="1" fontId="4" fillId="3" borderId="97" xfId="0" applyNumberFormat="1" applyFont="1" applyFill="1" applyBorder="1" applyAlignment="1" applyProtection="1">
      <alignment horizontal="left"/>
      <protection hidden="1"/>
    </xf>
    <xf numFmtId="49" fontId="4" fillId="3" borderId="25" xfId="0" applyNumberFormat="1" applyFont="1" applyFill="1" applyBorder="1" applyAlignment="1" applyProtection="1">
      <alignment horizontal="right"/>
      <protection locked="0"/>
    </xf>
    <xf numFmtId="49" fontId="4" fillId="3" borderId="44" xfId="0" applyNumberFormat="1" applyFont="1" applyFill="1" applyBorder="1" applyAlignment="1" applyProtection="1">
      <alignment horizontal="right"/>
      <protection locked="0"/>
    </xf>
    <xf numFmtId="49" fontId="4" fillId="3" borderId="65" xfId="0" applyNumberFormat="1" applyFont="1" applyFill="1" applyBorder="1" applyAlignment="1" applyProtection="1">
      <alignment horizontal="right"/>
      <protection locked="0"/>
    </xf>
    <xf numFmtId="1" fontId="4" fillId="3" borderId="62" xfId="0" applyNumberFormat="1" applyFont="1" applyFill="1" applyBorder="1" applyAlignment="1" applyProtection="1">
      <alignment horizontal="left"/>
      <protection locked="0"/>
    </xf>
    <xf numFmtId="1" fontId="4" fillId="3" borderId="49" xfId="0" applyNumberFormat="1" applyFont="1" applyFill="1" applyBorder="1" applyAlignment="1" applyProtection="1">
      <alignment horizontal="left" vertical="top" wrapText="1"/>
      <protection locked="0"/>
    </xf>
    <xf numFmtId="1" fontId="4" fillId="3" borderId="13" xfId="0" applyNumberFormat="1" applyFont="1" applyFill="1" applyBorder="1" applyAlignment="1" applyProtection="1">
      <alignment horizontal="left" vertical="top"/>
      <protection locked="0"/>
    </xf>
    <xf numFmtId="1" fontId="4" fillId="3" borderId="123" xfId="0" applyNumberFormat="1" applyFont="1" applyFill="1" applyBorder="1" applyAlignment="1" applyProtection="1">
      <alignment vertical="center" wrapText="1"/>
      <protection hidden="1"/>
    </xf>
    <xf numFmtId="1" fontId="4" fillId="0" borderId="129" xfId="0" applyNumberFormat="1" applyFont="1" applyBorder="1" applyAlignment="1" applyProtection="1">
      <alignment horizontal="center" vertical="center" wrapText="1"/>
      <protection hidden="1"/>
    </xf>
    <xf numFmtId="1" fontId="4" fillId="3" borderId="123" xfId="0" applyNumberFormat="1" applyFont="1" applyFill="1" applyBorder="1" applyAlignment="1">
      <alignment horizontal="center" vertical="center" wrapText="1"/>
    </xf>
    <xf numFmtId="1" fontId="4" fillId="3" borderId="123" xfId="0" applyNumberFormat="1" applyFont="1" applyFill="1" applyBorder="1" applyAlignment="1" applyProtection="1">
      <alignment horizontal="center" vertical="center" wrapText="1"/>
      <protection hidden="1"/>
    </xf>
    <xf numFmtId="1" fontId="4" fillId="4" borderId="7" xfId="0" applyNumberFormat="1" applyFont="1" applyFill="1" applyBorder="1" applyAlignment="1" applyProtection="1">
      <alignment horizontal="right"/>
      <protection locked="0"/>
    </xf>
    <xf numFmtId="1" fontId="4" fillId="4" borderId="123" xfId="0" applyNumberFormat="1" applyFont="1" applyFill="1" applyBorder="1" applyAlignment="1" applyProtection="1">
      <alignment horizontal="right"/>
      <protection locked="0"/>
    </xf>
    <xf numFmtId="1" fontId="7" fillId="3" borderId="114" xfId="0" applyNumberFormat="1" applyFont="1" applyFill="1" applyBorder="1" applyAlignment="1" applyProtection="1">
      <alignment horizontal="left"/>
      <protection hidden="1"/>
    </xf>
    <xf numFmtId="1" fontId="7" fillId="3" borderId="117" xfId="0" quotePrefix="1" applyNumberFormat="1" applyFont="1" applyFill="1" applyBorder="1" applyAlignment="1" applyProtection="1">
      <alignment horizontal="left"/>
      <protection hidden="1"/>
    </xf>
    <xf numFmtId="1" fontId="4" fillId="3" borderId="122" xfId="0" applyNumberFormat="1" applyFont="1" applyFill="1" applyBorder="1" applyAlignment="1" applyProtection="1">
      <alignment horizontal="center" vertical="center" wrapText="1"/>
      <protection hidden="1"/>
    </xf>
    <xf numFmtId="1" fontId="4" fillId="3" borderId="5" xfId="0" applyNumberFormat="1" applyFont="1" applyFill="1" applyBorder="1" applyAlignment="1" applyProtection="1">
      <alignment horizontal="center" vertical="center" wrapText="1"/>
      <protection hidden="1"/>
    </xf>
    <xf numFmtId="0" fontId="4" fillId="3" borderId="25" xfId="0" applyFont="1" applyFill="1" applyBorder="1"/>
    <xf numFmtId="0" fontId="4" fillId="3" borderId="44" xfId="0" applyFont="1" applyFill="1" applyBorder="1"/>
    <xf numFmtId="0" fontId="4" fillId="3" borderId="65" xfId="0" applyFont="1" applyFill="1" applyBorder="1"/>
    <xf numFmtId="1" fontId="4" fillId="0" borderId="130" xfId="0" applyNumberFormat="1" applyFont="1" applyBorder="1" applyAlignment="1">
      <alignment horizontal="center" vertical="center"/>
    </xf>
    <xf numFmtId="0" fontId="4" fillId="3" borderId="10" xfId="0" applyFont="1" applyFill="1" applyBorder="1" applyAlignment="1" applyProtection="1">
      <alignment horizontal="right" vertical="center"/>
      <protection locked="0"/>
    </xf>
    <xf numFmtId="0" fontId="4" fillId="3" borderId="131" xfId="0" applyFont="1" applyFill="1" applyBorder="1" applyAlignment="1" applyProtection="1">
      <alignment horizontal="right" vertical="center"/>
      <protection locked="0"/>
    </xf>
    <xf numFmtId="0" fontId="4" fillId="3" borderId="123" xfId="0" applyFont="1" applyFill="1" applyBorder="1" applyAlignment="1" applyProtection="1">
      <alignment horizontal="right" vertical="center"/>
      <protection locked="0"/>
    </xf>
    <xf numFmtId="1" fontId="4" fillId="3" borderId="113" xfId="0" applyNumberFormat="1" applyFont="1" applyFill="1" applyBorder="1" applyAlignment="1">
      <alignment wrapText="1"/>
    </xf>
    <xf numFmtId="1" fontId="4" fillId="3" borderId="36" xfId="0" applyNumberFormat="1" applyFont="1" applyFill="1" applyBorder="1" applyAlignment="1" applyProtection="1">
      <alignment wrapText="1"/>
      <protection hidden="1"/>
    </xf>
    <xf numFmtId="1" fontId="4" fillId="3" borderId="114" xfId="0" applyNumberFormat="1" applyFont="1" applyFill="1" applyBorder="1" applyAlignment="1">
      <alignment wrapText="1"/>
    </xf>
    <xf numFmtId="1" fontId="4" fillId="3" borderId="119" xfId="0" applyNumberFormat="1" applyFont="1" applyFill="1" applyBorder="1" applyAlignment="1">
      <alignment wrapText="1"/>
    </xf>
    <xf numFmtId="1" fontId="2" fillId="2" borderId="0" xfId="1" applyNumberFormat="1" applyFont="1" applyFill="1" applyAlignment="1">
      <alignment vertical="center" wrapText="1"/>
    </xf>
    <xf numFmtId="0" fontId="12" fillId="0" borderId="0" xfId="0" applyFont="1"/>
    <xf numFmtId="1" fontId="2" fillId="0" borderId="0" xfId="1" applyNumberFormat="1" applyFont="1" applyAlignment="1">
      <alignment vertical="center" wrapText="1"/>
    </xf>
    <xf numFmtId="1" fontId="3" fillId="2" borderId="0" xfId="1" quotePrefix="1" applyNumberFormat="1" applyFont="1" applyFill="1"/>
    <xf numFmtId="1" fontId="2" fillId="2" borderId="0" xfId="1" quotePrefix="1" applyNumberFormat="1" applyFont="1" applyFill="1"/>
    <xf numFmtId="1" fontId="4" fillId="2" borderId="0" xfId="0" applyNumberFormat="1" applyFont="1" applyFill="1"/>
    <xf numFmtId="1" fontId="2" fillId="2" borderId="0" xfId="0" applyNumberFormat="1" applyFont="1" applyFill="1" applyAlignment="1">
      <alignment vertical="center"/>
    </xf>
    <xf numFmtId="1" fontId="4" fillId="14" borderId="0" xfId="1" quotePrefix="1" applyNumberFormat="1" applyFont="1" applyFill="1" applyAlignment="1">
      <alignment vertical="center" wrapText="1"/>
    </xf>
    <xf numFmtId="1" fontId="4" fillId="14" borderId="0" xfId="1" quotePrefix="1" applyNumberFormat="1" applyFont="1" applyFill="1" applyAlignment="1">
      <alignment horizontal="center" vertical="center" wrapText="1"/>
    </xf>
    <xf numFmtId="1" fontId="4" fillId="14" borderId="0" xfId="0" applyNumberFormat="1" applyFont="1" applyFill="1" applyAlignment="1">
      <alignment vertical="center" wrapText="1"/>
    </xf>
    <xf numFmtId="1" fontId="2" fillId="14" borderId="0" xfId="0" applyNumberFormat="1" applyFont="1" applyFill="1"/>
    <xf numFmtId="1" fontId="4" fillId="14" borderId="0" xfId="1" applyNumberFormat="1" applyFont="1" applyFill="1" applyAlignment="1">
      <alignment vertical="center" wrapText="1"/>
    </xf>
    <xf numFmtId="1" fontId="4" fillId="14" borderId="0" xfId="1" applyNumberFormat="1" applyFont="1" applyFill="1" applyAlignment="1">
      <alignment horizontal="center" vertical="center" wrapText="1"/>
    </xf>
    <xf numFmtId="1" fontId="4" fillId="0" borderId="13" xfId="3" applyNumberFormat="1" applyFont="1" applyBorder="1" applyAlignment="1" applyProtection="1">
      <alignment horizontal="center" vertical="center" wrapText="1"/>
      <protection hidden="1"/>
    </xf>
    <xf numFmtId="1" fontId="4" fillId="0" borderId="122"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90" xfId="1" applyNumberFormat="1" applyFont="1" applyBorder="1" applyAlignment="1">
      <alignment horizontal="center" vertical="center" wrapText="1"/>
    </xf>
    <xf numFmtId="1" fontId="4" fillId="0" borderId="130" xfId="1" applyNumberFormat="1" applyFont="1" applyBorder="1" applyAlignment="1">
      <alignment horizontal="center" vertical="center" wrapText="1"/>
    </xf>
    <xf numFmtId="1" fontId="4" fillId="0" borderId="121" xfId="1" applyNumberFormat="1" applyFont="1" applyBorder="1" applyAlignment="1">
      <alignment horizontal="center" vertical="center" wrapText="1"/>
    </xf>
    <xf numFmtId="1" fontId="4" fillId="0" borderId="100" xfId="0" applyNumberFormat="1" applyFont="1" applyBorder="1" applyAlignment="1">
      <alignment horizontal="center" vertical="center"/>
    </xf>
    <xf numFmtId="1" fontId="4" fillId="14" borderId="0" xfId="0" applyNumberFormat="1" applyFont="1" applyFill="1" applyAlignment="1">
      <alignment horizontal="center" vertical="center"/>
    </xf>
    <xf numFmtId="1" fontId="4" fillId="0" borderId="13" xfId="1" applyNumberFormat="1" applyFont="1" applyBorder="1" applyAlignment="1">
      <alignment horizontal="right" wrapText="1"/>
    </xf>
    <xf numFmtId="1" fontId="4" fillId="0" borderId="20" xfId="1" applyNumberFormat="1" applyFont="1" applyBorder="1" applyAlignment="1">
      <alignment horizontal="right" wrapText="1"/>
    </xf>
    <xf numFmtId="1" fontId="4" fillId="0" borderId="13" xfId="1" applyNumberFormat="1" applyFont="1" applyBorder="1" applyAlignment="1">
      <alignment horizontal="right"/>
    </xf>
    <xf numFmtId="1" fontId="4" fillId="4" borderId="20" xfId="1" applyNumberFormat="1" applyFont="1" applyFill="1" applyBorder="1" applyAlignment="1" applyProtection="1">
      <alignment horizontal="right"/>
      <protection locked="0"/>
    </xf>
    <xf numFmtId="1" fontId="4" fillId="4" borderId="13" xfId="1" applyNumberFormat="1" applyFont="1" applyFill="1" applyBorder="1" applyAlignment="1" applyProtection="1">
      <alignment horizontal="right"/>
      <protection locked="0"/>
    </xf>
    <xf numFmtId="1" fontId="4" fillId="4" borderId="22" xfId="1" applyNumberFormat="1" applyFont="1" applyFill="1" applyBorder="1" applyAlignment="1" applyProtection="1">
      <alignment horizontal="right"/>
      <protection locked="0"/>
    </xf>
    <xf numFmtId="1" fontId="4" fillId="4" borderId="135" xfId="1" applyNumberFormat="1" applyFont="1" applyFill="1" applyBorder="1" applyAlignment="1" applyProtection="1">
      <alignment horizontal="right"/>
      <protection locked="0"/>
    </xf>
    <xf numFmtId="1" fontId="4" fillId="4" borderId="122" xfId="1" applyNumberFormat="1" applyFont="1" applyFill="1" applyBorder="1" applyAlignment="1" applyProtection="1">
      <alignment horizontal="right"/>
      <protection locked="0"/>
    </xf>
    <xf numFmtId="1" fontId="4" fillId="4" borderId="90" xfId="1" applyNumberFormat="1" applyFont="1" applyFill="1" applyBorder="1" applyAlignment="1" applyProtection="1">
      <alignment horizontal="right"/>
      <protection locked="0"/>
    </xf>
    <xf numFmtId="1" fontId="4" fillId="4" borderId="33" xfId="1" applyNumberFormat="1" applyFont="1" applyFill="1" applyBorder="1" applyAlignment="1" applyProtection="1">
      <alignment horizontal="right"/>
      <protection locked="0"/>
    </xf>
    <xf numFmtId="1" fontId="4" fillId="4" borderId="3" xfId="1" applyNumberFormat="1" applyFont="1" applyFill="1" applyBorder="1" applyAlignment="1" applyProtection="1">
      <alignment horizontal="right"/>
      <protection locked="0"/>
    </xf>
    <xf numFmtId="1" fontId="4" fillId="4" borderId="121" xfId="1" applyNumberFormat="1" applyFont="1" applyFill="1" applyBorder="1" applyAlignment="1" applyProtection="1">
      <alignment horizontal="right"/>
      <protection locked="0"/>
    </xf>
    <xf numFmtId="1" fontId="4" fillId="4" borderId="100" xfId="1" applyNumberFormat="1" applyFont="1" applyFill="1" applyBorder="1" applyAlignment="1" applyProtection="1">
      <alignment horizontal="right"/>
      <protection locked="0"/>
    </xf>
    <xf numFmtId="1" fontId="4" fillId="4" borderId="15" xfId="1" applyNumberFormat="1" applyFont="1" applyFill="1" applyBorder="1" applyAlignment="1" applyProtection="1">
      <alignment horizontal="right"/>
      <protection locked="0"/>
    </xf>
    <xf numFmtId="1" fontId="4" fillId="4" borderId="17" xfId="1" applyNumberFormat="1" applyFont="1" applyFill="1" applyBorder="1" applyAlignment="1" applyProtection="1">
      <alignment horizontal="right"/>
      <protection locked="0"/>
    </xf>
    <xf numFmtId="1" fontId="13" fillId="0" borderId="0" xfId="0" applyNumberFormat="1" applyFont="1"/>
    <xf numFmtId="1" fontId="4" fillId="14" borderId="0" xfId="1" applyNumberFormat="1" applyFont="1" applyFill="1"/>
    <xf numFmtId="1" fontId="4" fillId="15" borderId="0" xfId="0" applyNumberFormat="1" applyFont="1" applyFill="1"/>
    <xf numFmtId="1" fontId="7" fillId="15" borderId="0" xfId="0" applyNumberFormat="1" applyFont="1" applyFill="1"/>
    <xf numFmtId="1" fontId="4" fillId="16" borderId="0" xfId="0" applyNumberFormat="1" applyFont="1" applyFill="1"/>
    <xf numFmtId="1" fontId="4" fillId="0" borderId="114" xfId="1" applyNumberFormat="1" applyFont="1" applyBorder="1"/>
    <xf numFmtId="1" fontId="4" fillId="0" borderId="25" xfId="1" applyNumberFormat="1" applyFont="1" applyBorder="1" applyAlignment="1">
      <alignment horizontal="right"/>
    </xf>
    <xf numFmtId="1" fontId="4" fillId="0" borderId="23" xfId="1" applyNumberFormat="1" applyFont="1" applyBorder="1" applyAlignment="1">
      <alignment horizontal="right" wrapText="1"/>
    </xf>
    <xf numFmtId="1" fontId="4" fillId="0" borderId="30" xfId="1" applyNumberFormat="1" applyFont="1" applyBorder="1" applyAlignment="1">
      <alignment horizontal="right"/>
    </xf>
    <xf numFmtId="1" fontId="4" fillId="4" borderId="23" xfId="1" applyNumberFormat="1" applyFont="1" applyFill="1" applyBorder="1" applyAlignment="1" applyProtection="1">
      <alignment horizontal="right"/>
      <protection locked="0"/>
    </xf>
    <xf numFmtId="1" fontId="4" fillId="4" borderId="30" xfId="1" applyNumberFormat="1" applyFont="1" applyFill="1" applyBorder="1" applyAlignment="1" applyProtection="1">
      <alignment horizontal="right"/>
      <protection locked="0"/>
    </xf>
    <xf numFmtId="1" fontId="4" fillId="4" borderId="24" xfId="1" applyNumberFormat="1" applyFont="1" applyFill="1" applyBorder="1" applyAlignment="1" applyProtection="1">
      <alignment horizontal="right"/>
      <protection locked="0"/>
    </xf>
    <xf numFmtId="1" fontId="4" fillId="4" borderId="137" xfId="1" applyNumberFormat="1" applyFont="1" applyFill="1" applyBorder="1" applyAlignment="1" applyProtection="1">
      <alignment horizontal="right"/>
      <protection locked="0"/>
    </xf>
    <xf numFmtId="1" fontId="4" fillId="4" borderId="26" xfId="1" applyNumberFormat="1" applyFont="1" applyFill="1" applyBorder="1" applyAlignment="1" applyProtection="1">
      <alignment horizontal="right"/>
      <protection locked="0"/>
    </xf>
    <xf numFmtId="1" fontId="4" fillId="4" borderId="138" xfId="1" applyNumberFormat="1" applyFont="1" applyFill="1" applyBorder="1" applyAlignment="1" applyProtection="1">
      <alignment horizontal="right"/>
      <protection locked="0"/>
    </xf>
    <xf numFmtId="1" fontId="4" fillId="4" borderId="113" xfId="1" applyNumberFormat="1" applyFont="1" applyFill="1" applyBorder="1" applyAlignment="1" applyProtection="1">
      <alignment horizontal="right"/>
      <protection locked="0"/>
    </xf>
    <xf numFmtId="1" fontId="4" fillId="4" borderId="106" xfId="1" applyNumberFormat="1" applyFont="1" applyFill="1" applyBorder="1" applyAlignment="1" applyProtection="1">
      <alignment horizontal="right"/>
      <protection locked="0"/>
    </xf>
    <xf numFmtId="1" fontId="4" fillId="4" borderId="27" xfId="1" applyNumberFormat="1" applyFont="1" applyFill="1" applyBorder="1" applyAlignment="1" applyProtection="1">
      <alignment horizontal="right"/>
      <protection locked="0"/>
    </xf>
    <xf numFmtId="1" fontId="4" fillId="0" borderId="140" xfId="1" applyNumberFormat="1" applyFont="1" applyBorder="1"/>
    <xf numFmtId="1" fontId="4" fillId="0" borderId="97" xfId="1" applyNumberFormat="1" applyFont="1" applyBorder="1" applyAlignment="1">
      <alignment horizontal="right"/>
    </xf>
    <xf numFmtId="1" fontId="4" fillId="4" borderId="68" xfId="1" applyNumberFormat="1" applyFont="1" applyFill="1" applyBorder="1" applyAlignment="1" applyProtection="1">
      <alignment horizontal="right"/>
      <protection locked="0"/>
    </xf>
    <xf numFmtId="1" fontId="4" fillId="4" borderId="69" xfId="1" applyNumberFormat="1" applyFont="1" applyFill="1" applyBorder="1" applyAlignment="1" applyProtection="1">
      <alignment horizontal="right"/>
      <protection locked="0"/>
    </xf>
    <xf numFmtId="1" fontId="4" fillId="4" borderId="70" xfId="1" applyNumberFormat="1" applyFont="1" applyFill="1" applyBorder="1" applyAlignment="1" applyProtection="1">
      <alignment horizontal="right"/>
      <protection locked="0"/>
    </xf>
    <xf numFmtId="1" fontId="4" fillId="4" borderId="141" xfId="1" applyNumberFormat="1" applyFont="1" applyFill="1" applyBorder="1" applyAlignment="1" applyProtection="1">
      <alignment horizontal="right"/>
      <protection locked="0"/>
    </xf>
    <xf numFmtId="1" fontId="4" fillId="4" borderId="66" xfId="1" applyNumberFormat="1" applyFont="1" applyFill="1" applyBorder="1" applyAlignment="1" applyProtection="1">
      <alignment horizontal="right"/>
      <protection locked="0"/>
    </xf>
    <xf numFmtId="1" fontId="4" fillId="4" borderId="142" xfId="1" applyNumberFormat="1" applyFont="1" applyFill="1" applyBorder="1" applyAlignment="1" applyProtection="1">
      <alignment horizontal="right"/>
      <protection locked="0"/>
    </xf>
    <xf numFmtId="1" fontId="4" fillId="4" borderId="119" xfId="1" applyNumberFormat="1" applyFont="1" applyFill="1" applyBorder="1" applyAlignment="1" applyProtection="1">
      <alignment horizontal="right"/>
      <protection locked="0"/>
    </xf>
    <xf numFmtId="1" fontId="4" fillId="4" borderId="143" xfId="1" applyNumberFormat="1" applyFont="1" applyFill="1" applyBorder="1" applyAlignment="1" applyProtection="1">
      <alignment horizontal="right"/>
      <protection locked="0"/>
    </xf>
    <xf numFmtId="1" fontId="4" fillId="4" borderId="58" xfId="1" applyNumberFormat="1" applyFont="1" applyFill="1" applyBorder="1" applyAlignment="1" applyProtection="1">
      <alignment horizontal="right"/>
      <protection locked="0"/>
    </xf>
    <xf numFmtId="1" fontId="4" fillId="0" borderId="121" xfId="1" applyNumberFormat="1" applyFont="1" applyBorder="1"/>
    <xf numFmtId="1" fontId="4" fillId="0" borderId="123" xfId="1" applyNumberFormat="1" applyFont="1" applyBorder="1" applyAlignment="1">
      <alignment horizontal="right"/>
    </xf>
    <xf numFmtId="1" fontId="4" fillId="0" borderId="122" xfId="1" applyNumberFormat="1" applyFont="1" applyBorder="1" applyAlignment="1">
      <alignment horizontal="right"/>
    </xf>
    <xf numFmtId="1" fontId="4" fillId="0" borderId="17" xfId="1" applyNumberFormat="1" applyFont="1" applyBorder="1" applyAlignment="1">
      <alignment horizontal="right"/>
    </xf>
    <xf numFmtId="1" fontId="4" fillId="0" borderId="90" xfId="1" applyNumberFormat="1" applyFont="1" applyBorder="1" applyAlignment="1">
      <alignment horizontal="right"/>
    </xf>
    <xf numFmtId="1" fontId="4" fillId="0" borderId="130" xfId="1" applyNumberFormat="1" applyFont="1" applyBorder="1" applyAlignment="1">
      <alignment horizontal="right"/>
    </xf>
    <xf numFmtId="1" fontId="4" fillId="0" borderId="121" xfId="1" applyNumberFormat="1" applyFont="1" applyBorder="1" applyAlignment="1">
      <alignment horizontal="right"/>
    </xf>
    <xf numFmtId="1" fontId="4" fillId="0" borderId="100" xfId="1" applyNumberFormat="1" applyFont="1" applyBorder="1" applyAlignment="1">
      <alignment horizontal="right"/>
    </xf>
    <xf numFmtId="1" fontId="4" fillId="0" borderId="15" xfId="1" applyNumberFormat="1" applyFont="1" applyBorder="1" applyAlignment="1">
      <alignment horizontal="right"/>
    </xf>
    <xf numFmtId="1" fontId="4" fillId="0" borderId="118" xfId="1" applyNumberFormat="1" applyFont="1" applyBorder="1"/>
    <xf numFmtId="1" fontId="4" fillId="0" borderId="71" xfId="1" applyNumberFormat="1" applyFont="1" applyBorder="1" applyAlignment="1">
      <alignment horizontal="right"/>
    </xf>
    <xf numFmtId="1" fontId="4" fillId="0" borderId="36" xfId="1" applyNumberFormat="1" applyFont="1" applyBorder="1" applyAlignment="1">
      <alignment horizontal="right"/>
    </xf>
    <xf numFmtId="1" fontId="4" fillId="0" borderId="7" xfId="1" applyNumberFormat="1" applyFont="1" applyBorder="1" applyAlignment="1">
      <alignment horizontal="right"/>
    </xf>
    <xf numFmtId="1" fontId="4" fillId="0" borderId="113" xfId="1" applyNumberFormat="1" applyFont="1" applyBorder="1" applyAlignment="1">
      <alignment horizontal="right"/>
    </xf>
    <xf numFmtId="1" fontId="4" fillId="0" borderId="126" xfId="1" applyNumberFormat="1" applyFont="1" applyBorder="1" applyAlignment="1">
      <alignment horizontal="right"/>
    </xf>
    <xf numFmtId="1" fontId="4" fillId="3" borderId="122" xfId="1" applyNumberFormat="1" applyFont="1" applyFill="1" applyBorder="1" applyAlignment="1">
      <alignment horizontal="right"/>
    </xf>
    <xf numFmtId="1" fontId="4" fillId="3" borderId="10" xfId="1" applyNumberFormat="1" applyFont="1" applyFill="1" applyBorder="1" applyAlignment="1">
      <alignment horizontal="right"/>
    </xf>
    <xf numFmtId="1" fontId="4" fillId="3" borderId="130" xfId="1" applyNumberFormat="1" applyFont="1" applyFill="1" applyBorder="1" applyAlignment="1">
      <alignment horizontal="right"/>
    </xf>
    <xf numFmtId="1" fontId="4" fillId="3" borderId="90" xfId="1" applyNumberFormat="1" applyFont="1" applyFill="1" applyBorder="1" applyAlignment="1">
      <alignment horizontal="right"/>
    </xf>
    <xf numFmtId="1" fontId="4" fillId="3" borderId="17" xfId="1" applyNumberFormat="1" applyFont="1" applyFill="1" applyBorder="1" applyAlignment="1">
      <alignment horizontal="right"/>
    </xf>
    <xf numFmtId="1" fontId="4" fillId="3" borderId="7" xfId="1" applyNumberFormat="1" applyFont="1" applyFill="1" applyBorder="1" applyAlignment="1">
      <alignment horizontal="right"/>
    </xf>
    <xf numFmtId="1" fontId="4" fillId="3" borderId="121" xfId="1" applyNumberFormat="1" applyFont="1" applyFill="1" applyBorder="1" applyAlignment="1">
      <alignment horizontal="right"/>
    </xf>
    <xf numFmtId="1" fontId="4" fillId="3" borderId="100" xfId="1" applyNumberFormat="1" applyFont="1" applyFill="1" applyBorder="1" applyAlignment="1">
      <alignment horizontal="right"/>
    </xf>
    <xf numFmtId="1" fontId="4" fillId="3" borderId="15" xfId="1" applyNumberFormat="1" applyFont="1" applyFill="1" applyBorder="1" applyAlignment="1">
      <alignment horizontal="right"/>
    </xf>
    <xf numFmtId="1" fontId="4" fillId="4" borderId="41" xfId="1" applyNumberFormat="1" applyFont="1" applyFill="1" applyBorder="1" applyAlignment="1" applyProtection="1">
      <alignment horizontal="right"/>
      <protection locked="0"/>
    </xf>
    <xf numFmtId="1" fontId="4" fillId="4" borderId="37" xfId="1" applyNumberFormat="1" applyFont="1" applyFill="1" applyBorder="1" applyAlignment="1" applyProtection="1">
      <alignment horizontal="right"/>
      <protection locked="0"/>
    </xf>
    <xf numFmtId="1" fontId="4" fillId="4" borderId="145" xfId="1" applyNumberFormat="1" applyFont="1" applyFill="1" applyBorder="1" applyAlignment="1" applyProtection="1">
      <alignment horizontal="right"/>
      <protection locked="0"/>
    </xf>
    <xf numFmtId="1" fontId="4" fillId="4" borderId="43" xfId="1" applyNumberFormat="1" applyFont="1" applyFill="1" applyBorder="1" applyAlignment="1" applyProtection="1">
      <alignment horizontal="right"/>
      <protection locked="0"/>
    </xf>
    <xf numFmtId="1" fontId="4" fillId="4" borderId="146" xfId="1" applyNumberFormat="1" applyFont="1" applyFill="1" applyBorder="1" applyAlignment="1" applyProtection="1">
      <alignment horizontal="right"/>
      <protection locked="0"/>
    </xf>
    <xf numFmtId="1" fontId="4" fillId="4" borderId="118" xfId="1" applyNumberFormat="1" applyFont="1" applyFill="1" applyBorder="1" applyAlignment="1" applyProtection="1">
      <alignment horizontal="right"/>
      <protection locked="0"/>
    </xf>
    <xf numFmtId="1" fontId="4" fillId="4" borderId="115" xfId="1" applyNumberFormat="1" applyFont="1" applyFill="1" applyBorder="1" applyAlignment="1" applyProtection="1">
      <alignment horizontal="right"/>
      <protection locked="0"/>
    </xf>
    <xf numFmtId="1" fontId="4" fillId="4" borderId="38" xfId="1" applyNumberFormat="1" applyFont="1" applyFill="1" applyBorder="1" applyAlignment="1" applyProtection="1">
      <alignment horizontal="right"/>
      <protection locked="0"/>
    </xf>
    <xf numFmtId="1" fontId="4" fillId="0" borderId="12" xfId="1" applyNumberFormat="1" applyFont="1" applyBorder="1"/>
    <xf numFmtId="1" fontId="4" fillId="0" borderId="12" xfId="1" applyNumberFormat="1" applyFont="1" applyBorder="1" applyAlignment="1">
      <alignment horizontal="right"/>
    </xf>
    <xf numFmtId="1" fontId="4" fillId="4" borderId="10" xfId="1" applyNumberFormat="1" applyFont="1" applyFill="1" applyBorder="1" applyAlignment="1" applyProtection="1">
      <alignment horizontal="right"/>
      <protection locked="0"/>
    </xf>
    <xf numFmtId="1" fontId="4" fillId="4" borderId="130" xfId="1" applyNumberFormat="1" applyFont="1" applyFill="1" applyBorder="1" applyAlignment="1" applyProtection="1">
      <alignment horizontal="right"/>
      <protection locked="0"/>
    </xf>
    <xf numFmtId="1" fontId="4" fillId="4" borderId="12" xfId="1" applyNumberFormat="1" applyFont="1" applyFill="1" applyBorder="1" applyAlignment="1" applyProtection="1">
      <alignment horizontal="right"/>
      <protection locked="0"/>
    </xf>
    <xf numFmtId="1" fontId="4" fillId="4" borderId="104" xfId="1" applyNumberFormat="1" applyFont="1" applyFill="1" applyBorder="1" applyAlignment="1" applyProtection="1">
      <alignment horizontal="right"/>
      <protection locked="0"/>
    </xf>
    <xf numFmtId="1" fontId="4" fillId="4" borderId="34" xfId="1" applyNumberFormat="1" applyFont="1" applyFill="1" applyBorder="1" applyAlignment="1" applyProtection="1">
      <alignment horizontal="right"/>
      <protection locked="0"/>
    </xf>
    <xf numFmtId="1" fontId="4" fillId="0" borderId="118" xfId="1" applyNumberFormat="1" applyFont="1" applyBorder="1" applyAlignment="1">
      <alignment horizontal="right"/>
    </xf>
    <xf numFmtId="1" fontId="4" fillId="5" borderId="23" xfId="1" applyNumberFormat="1" applyFont="1" applyFill="1" applyBorder="1" applyAlignment="1">
      <alignment horizontal="right"/>
    </xf>
    <xf numFmtId="1" fontId="4" fillId="5" borderId="30" xfId="1" applyNumberFormat="1" applyFont="1" applyFill="1" applyBorder="1" applyAlignment="1">
      <alignment horizontal="right"/>
    </xf>
    <xf numFmtId="1" fontId="4" fillId="0" borderId="114" xfId="1" applyNumberFormat="1" applyFont="1" applyBorder="1" applyAlignment="1">
      <alignment horizontal="right"/>
    </xf>
    <xf numFmtId="1" fontId="4" fillId="0" borderId="48" xfId="1" applyNumberFormat="1" applyFont="1" applyBorder="1" applyAlignment="1">
      <alignment horizontal="right" wrapText="1"/>
    </xf>
    <xf numFmtId="1" fontId="4" fillId="0" borderId="49" xfId="1" applyNumberFormat="1" applyFont="1" applyBorder="1" applyAlignment="1">
      <alignment horizontal="right"/>
    </xf>
    <xf numFmtId="1" fontId="4" fillId="5" borderId="48" xfId="1" applyNumberFormat="1" applyFont="1" applyFill="1" applyBorder="1" applyAlignment="1">
      <alignment horizontal="right"/>
    </xf>
    <xf numFmtId="1" fontId="4" fillId="5" borderId="49" xfId="1" applyNumberFormat="1" applyFont="1" applyFill="1" applyBorder="1" applyAlignment="1">
      <alignment horizontal="right"/>
    </xf>
    <xf numFmtId="1" fontId="4" fillId="4" borderId="48" xfId="1" applyNumberFormat="1" applyFont="1" applyFill="1" applyBorder="1" applyAlignment="1" applyProtection="1">
      <alignment horizontal="right"/>
      <protection locked="0"/>
    </xf>
    <xf numFmtId="1" fontId="4" fillId="4" borderId="50" xfId="1" applyNumberFormat="1" applyFont="1" applyFill="1" applyBorder="1" applyAlignment="1" applyProtection="1">
      <alignment horizontal="right"/>
      <protection locked="0"/>
    </xf>
    <xf numFmtId="1" fontId="4" fillId="4" borderId="147" xfId="1" applyNumberFormat="1" applyFont="1" applyFill="1" applyBorder="1" applyAlignment="1" applyProtection="1">
      <alignment horizontal="right"/>
      <protection locked="0"/>
    </xf>
    <xf numFmtId="1" fontId="4" fillId="4" borderId="45" xfId="1" applyNumberFormat="1" applyFont="1" applyFill="1" applyBorder="1" applyAlignment="1" applyProtection="1">
      <alignment horizontal="right"/>
      <protection locked="0"/>
    </xf>
    <xf numFmtId="1" fontId="4" fillId="4" borderId="114" xfId="1" applyNumberFormat="1" applyFont="1" applyFill="1" applyBorder="1" applyAlignment="1" applyProtection="1">
      <alignment horizontal="right"/>
      <protection locked="0"/>
    </xf>
    <xf numFmtId="1" fontId="4" fillId="4" borderId="108" xfId="1" applyNumberFormat="1" applyFont="1" applyFill="1" applyBorder="1" applyAlignment="1" applyProtection="1">
      <alignment horizontal="right"/>
      <protection locked="0"/>
    </xf>
    <xf numFmtId="1" fontId="4" fillId="4" borderId="46" xfId="1" applyNumberFormat="1" applyFont="1" applyFill="1" applyBorder="1" applyAlignment="1" applyProtection="1">
      <alignment horizontal="right"/>
      <protection locked="0"/>
    </xf>
    <xf numFmtId="1" fontId="4" fillId="0" borderId="41" xfId="1" applyNumberFormat="1" applyFont="1" applyBorder="1" applyAlignment="1">
      <alignment horizontal="right" wrapText="1"/>
    </xf>
    <xf numFmtId="1" fontId="4" fillId="0" borderId="42" xfId="1" applyNumberFormat="1" applyFont="1" applyBorder="1" applyAlignment="1">
      <alignment horizontal="right"/>
    </xf>
    <xf numFmtId="1" fontId="4" fillId="4" borderId="16" xfId="1" applyNumberFormat="1" applyFont="1" applyFill="1" applyBorder="1" applyAlignment="1" applyProtection="1">
      <alignment horizontal="right"/>
      <protection locked="0"/>
    </xf>
    <xf numFmtId="1" fontId="4" fillId="4" borderId="63" xfId="1" applyNumberFormat="1" applyFont="1" applyFill="1" applyBorder="1" applyAlignment="1" applyProtection="1">
      <alignment horizontal="right"/>
      <protection locked="0"/>
    </xf>
    <xf numFmtId="1" fontId="4" fillId="0" borderId="123" xfId="1" applyNumberFormat="1" applyFont="1" applyBorder="1" applyAlignment="1">
      <alignment horizontal="right" wrapText="1"/>
    </xf>
    <xf numFmtId="1" fontId="4" fillId="0" borderId="121" xfId="1" applyNumberFormat="1" applyFont="1" applyBorder="1" applyAlignment="1">
      <alignment wrapText="1"/>
    </xf>
    <xf numFmtId="1" fontId="4" fillId="4" borderId="116" xfId="1" applyNumberFormat="1" applyFont="1" applyFill="1" applyBorder="1" applyAlignment="1" applyProtection="1">
      <alignment horizontal="right"/>
      <protection locked="0"/>
    </xf>
    <xf numFmtId="1" fontId="4" fillId="0" borderId="121" xfId="1" applyNumberFormat="1" applyFont="1" applyBorder="1" applyAlignment="1">
      <alignment vertical="center" wrapText="1"/>
    </xf>
    <xf numFmtId="1" fontId="4" fillId="0" borderId="121" xfId="1" applyNumberFormat="1" applyFont="1" applyBorder="1" applyAlignment="1">
      <alignment horizontal="right" wrapText="1"/>
    </xf>
    <xf numFmtId="1" fontId="4" fillId="0" borderId="122" xfId="1" applyNumberFormat="1" applyFont="1" applyBorder="1" applyAlignment="1">
      <alignment horizontal="right" wrapText="1"/>
    </xf>
    <xf numFmtId="1" fontId="4" fillId="0" borderId="10" xfId="1" applyNumberFormat="1" applyFont="1" applyBorder="1" applyAlignment="1">
      <alignment horizontal="right"/>
    </xf>
    <xf numFmtId="1" fontId="2" fillId="0" borderId="0" xfId="1" quotePrefix="1" applyNumberFormat="1" applyFont="1"/>
    <xf numFmtId="1" fontId="4" fillId="0" borderId="0" xfId="1" applyNumberFormat="1" applyFont="1"/>
    <xf numFmtId="1" fontId="4" fillId="0" borderId="62" xfId="3" applyNumberFormat="1" applyFont="1" applyBorder="1" applyAlignment="1" applyProtection="1">
      <alignment horizontal="center" vertical="center" wrapText="1"/>
      <protection hidden="1"/>
    </xf>
    <xf numFmtId="1" fontId="4" fillId="0" borderId="20" xfId="1" applyNumberFormat="1" applyFont="1" applyBorder="1" applyAlignment="1">
      <alignment horizontal="center" vertical="center" wrapText="1"/>
    </xf>
    <xf numFmtId="1" fontId="4" fillId="0" borderId="22" xfId="1" applyNumberFormat="1" applyFont="1" applyBorder="1" applyAlignment="1">
      <alignment horizontal="center" vertical="center" wrapText="1"/>
    </xf>
    <xf numFmtId="1" fontId="4" fillId="0" borderId="33" xfId="1" applyNumberFormat="1" applyFont="1" applyBorder="1" applyAlignment="1">
      <alignment horizontal="center" vertical="center" wrapText="1"/>
    </xf>
    <xf numFmtId="1" fontId="4" fillId="0" borderId="99" xfId="1" applyNumberFormat="1" applyFont="1" applyBorder="1" applyAlignment="1">
      <alignment horizontal="center" vertical="center" wrapText="1"/>
    </xf>
    <xf numFmtId="1" fontId="4" fillId="0" borderId="104" xfId="1" applyNumberFormat="1" applyFont="1" applyBorder="1" applyAlignment="1">
      <alignment horizontal="center" vertical="center" wrapText="1"/>
    </xf>
    <xf numFmtId="1" fontId="4" fillId="0" borderId="34" xfId="1" applyNumberFormat="1" applyFont="1" applyBorder="1" applyAlignment="1">
      <alignment horizontal="center" vertical="center" wrapText="1"/>
    </xf>
    <xf numFmtId="1" fontId="4" fillId="0" borderId="17" xfId="1" applyNumberFormat="1" applyFont="1" applyBorder="1" applyAlignment="1">
      <alignment horizontal="center" vertical="center" wrapText="1"/>
    </xf>
    <xf numFmtId="1" fontId="4" fillId="0" borderId="10" xfId="1" applyNumberFormat="1" applyFont="1" applyBorder="1" applyAlignment="1">
      <alignment horizontal="right" wrapText="1"/>
    </xf>
    <xf numFmtId="1" fontId="13" fillId="3" borderId="0" xfId="0" applyNumberFormat="1" applyFont="1" applyFill="1" applyProtection="1">
      <protection hidden="1"/>
    </xf>
    <xf numFmtId="1" fontId="7" fillId="16" borderId="0" xfId="0" applyNumberFormat="1" applyFont="1" applyFill="1"/>
    <xf numFmtId="1" fontId="4" fillId="0" borderId="30" xfId="1" applyNumberFormat="1" applyFont="1" applyBorder="1"/>
    <xf numFmtId="1" fontId="4" fillId="0" borderId="23" xfId="1" applyNumberFormat="1" applyFont="1" applyBorder="1" applyAlignment="1">
      <alignment horizontal="right"/>
    </xf>
    <xf numFmtId="1" fontId="4" fillId="0" borderId="49" xfId="1" applyNumberFormat="1" applyFont="1" applyBorder="1"/>
    <xf numFmtId="1" fontId="4" fillId="0" borderId="48" xfId="1" applyNumberFormat="1" applyFont="1" applyBorder="1" applyAlignment="1">
      <alignment horizontal="right"/>
    </xf>
    <xf numFmtId="1" fontId="4" fillId="0" borderId="55" xfId="1" applyNumberFormat="1" applyFont="1" applyBorder="1"/>
    <xf numFmtId="1" fontId="4" fillId="0" borderId="140" xfId="1" applyNumberFormat="1" applyFont="1" applyBorder="1" applyAlignment="1">
      <alignment horizontal="right"/>
    </xf>
    <xf numFmtId="1" fontId="4" fillId="0" borderId="54" xfId="1" applyNumberFormat="1" applyFont="1" applyBorder="1" applyAlignment="1">
      <alignment horizontal="right"/>
    </xf>
    <xf numFmtId="1" fontId="4" fillId="0" borderId="55" xfId="1" applyNumberFormat="1" applyFont="1" applyBorder="1" applyAlignment="1">
      <alignment horizontal="right"/>
    </xf>
    <xf numFmtId="1" fontId="4" fillId="0" borderId="123" xfId="1" applyNumberFormat="1" applyFont="1" applyBorder="1"/>
    <xf numFmtId="1" fontId="4" fillId="0" borderId="42" xfId="1" applyNumberFormat="1" applyFont="1" applyBorder="1"/>
    <xf numFmtId="1" fontId="4" fillId="0" borderId="41" xfId="1" applyNumberFormat="1" applyFont="1" applyBorder="1" applyAlignment="1">
      <alignment horizontal="right"/>
    </xf>
    <xf numFmtId="1" fontId="4" fillId="4" borderId="94" xfId="1" applyNumberFormat="1" applyFont="1" applyFill="1" applyBorder="1" applyAlignment="1" applyProtection="1">
      <alignment horizontal="right"/>
      <protection locked="0"/>
    </xf>
    <xf numFmtId="1" fontId="4" fillId="3" borderId="114" xfId="1" applyNumberFormat="1" applyFont="1" applyFill="1" applyBorder="1"/>
    <xf numFmtId="1" fontId="4" fillId="3" borderId="118" xfId="1" applyNumberFormat="1" applyFont="1" applyFill="1" applyBorder="1" applyAlignment="1">
      <alignment horizontal="right"/>
    </xf>
    <xf numFmtId="1" fontId="4" fillId="3" borderId="41" xfId="1" applyNumberFormat="1" applyFont="1" applyFill="1" applyBorder="1" applyAlignment="1">
      <alignment horizontal="right"/>
    </xf>
    <xf numFmtId="1" fontId="4" fillId="3" borderId="42" xfId="1" applyNumberFormat="1" applyFont="1" applyFill="1" applyBorder="1" applyAlignment="1">
      <alignment horizontal="right"/>
    </xf>
    <xf numFmtId="1" fontId="4" fillId="4" borderId="148" xfId="1" applyNumberFormat="1" applyFont="1" applyFill="1" applyBorder="1" applyAlignment="1" applyProtection="1">
      <alignment horizontal="right"/>
      <protection locked="0"/>
    </xf>
    <xf numFmtId="1" fontId="4" fillId="3" borderId="140" xfId="1" applyNumberFormat="1" applyFont="1" applyFill="1" applyBorder="1"/>
    <xf numFmtId="1" fontId="4" fillId="3" borderId="140" xfId="1" applyNumberFormat="1" applyFont="1" applyFill="1" applyBorder="1" applyAlignment="1">
      <alignment horizontal="right"/>
    </xf>
    <xf numFmtId="1" fontId="4" fillId="3" borderId="54" xfId="1" applyNumberFormat="1" applyFont="1" applyFill="1" applyBorder="1" applyAlignment="1">
      <alignment horizontal="right"/>
    </xf>
    <xf numFmtId="1" fontId="4" fillId="3" borderId="55" xfId="1" applyNumberFormat="1" applyFont="1" applyFill="1" applyBorder="1" applyAlignment="1">
      <alignment horizontal="right"/>
    </xf>
    <xf numFmtId="1" fontId="4" fillId="4" borderId="149" xfId="1" applyNumberFormat="1" applyFont="1" applyFill="1" applyBorder="1" applyAlignment="1" applyProtection="1">
      <alignment horizontal="right"/>
      <protection locked="0"/>
    </xf>
    <xf numFmtId="1" fontId="4" fillId="3" borderId="121" xfId="1" applyNumberFormat="1" applyFont="1" applyFill="1" applyBorder="1"/>
    <xf numFmtId="1" fontId="4" fillId="3" borderId="94" xfId="1" applyNumberFormat="1" applyFont="1" applyFill="1" applyBorder="1" applyAlignment="1">
      <alignment horizontal="right"/>
    </xf>
    <xf numFmtId="1" fontId="4" fillId="3" borderId="118" xfId="1" applyNumberFormat="1" applyFont="1" applyFill="1" applyBorder="1"/>
    <xf numFmtId="1" fontId="4" fillId="3" borderId="32" xfId="1" applyNumberFormat="1" applyFont="1" applyFill="1" applyBorder="1"/>
    <xf numFmtId="1" fontId="4" fillId="3" borderId="12" xfId="1" applyNumberFormat="1" applyFont="1" applyFill="1" applyBorder="1" applyAlignment="1">
      <alignment horizontal="right"/>
    </xf>
    <xf numFmtId="1" fontId="4" fillId="3" borderId="20" xfId="1" applyNumberFormat="1" applyFont="1" applyFill="1" applyBorder="1" applyAlignment="1">
      <alignment horizontal="right"/>
    </xf>
    <xf numFmtId="1" fontId="4" fillId="3" borderId="13" xfId="1" applyNumberFormat="1" applyFont="1" applyFill="1" applyBorder="1" applyAlignment="1">
      <alignment horizontal="right"/>
    </xf>
    <xf numFmtId="1" fontId="4" fillId="4" borderId="99" xfId="1" applyNumberFormat="1" applyFont="1" applyFill="1" applyBorder="1" applyAlignment="1" applyProtection="1">
      <alignment horizontal="right"/>
      <protection locked="0"/>
    </xf>
    <xf numFmtId="1" fontId="3" fillId="0" borderId="3" xfId="1" quotePrefix="1" applyNumberFormat="1" applyFont="1" applyBorder="1"/>
    <xf numFmtId="1" fontId="2" fillId="0" borderId="3" xfId="1" quotePrefix="1" applyNumberFormat="1" applyFont="1" applyBorder="1"/>
    <xf numFmtId="1" fontId="4" fillId="0" borderId="123" xfId="0" applyNumberFormat="1" applyFont="1" applyBorder="1" applyAlignment="1">
      <alignment horizontal="center" vertical="center" wrapText="1"/>
    </xf>
    <xf numFmtId="1" fontId="4" fillId="0" borderId="122" xfId="0" applyNumberFormat="1" applyFont="1" applyBorder="1" applyAlignment="1">
      <alignment horizontal="center" vertical="center" wrapText="1"/>
    </xf>
    <xf numFmtId="1" fontId="4" fillId="0" borderId="90" xfId="0" applyNumberFormat="1" applyFont="1" applyBorder="1" applyAlignment="1">
      <alignment horizontal="center" vertical="center" wrapText="1"/>
    </xf>
    <xf numFmtId="1" fontId="4" fillId="0" borderId="0" xfId="1" applyNumberFormat="1" applyFont="1" applyAlignment="1">
      <alignment horizontal="center" vertical="center"/>
    </xf>
    <xf numFmtId="1" fontId="4" fillId="0" borderId="0" xfId="1" quotePrefix="1" applyNumberFormat="1" applyFont="1" applyAlignment="1">
      <alignment horizontal="center" vertical="center"/>
    </xf>
    <xf numFmtId="1" fontId="4" fillId="0" borderId="25" xfId="0" quotePrefix="1" applyNumberFormat="1" applyFont="1" applyBorder="1" applyAlignment="1">
      <alignment horizontal="left" wrapText="1"/>
    </xf>
    <xf numFmtId="1" fontId="4" fillId="4" borderId="150" xfId="0" applyNumberFormat="1" applyFont="1" applyFill="1" applyBorder="1" applyAlignment="1" applyProtection="1">
      <alignment horizontal="right"/>
      <protection locked="0"/>
    </xf>
    <xf numFmtId="1" fontId="13" fillId="3" borderId="0" xfId="0" applyNumberFormat="1" applyFont="1" applyFill="1"/>
    <xf numFmtId="1" fontId="4" fillId="0" borderId="44" xfId="0" quotePrefix="1" applyNumberFormat="1" applyFont="1" applyBorder="1" applyAlignment="1">
      <alignment horizontal="left" wrapText="1"/>
    </xf>
    <xf numFmtId="1" fontId="4" fillId="2" borderId="0" xfId="1" applyNumberFormat="1" applyFont="1" applyFill="1" applyAlignment="1">
      <alignment horizontal="right"/>
    </xf>
    <xf numFmtId="1" fontId="4" fillId="0" borderId="97" xfId="0" quotePrefix="1" applyNumberFormat="1" applyFont="1" applyBorder="1" applyAlignment="1">
      <alignment horizontal="left" wrapText="1"/>
    </xf>
    <xf numFmtId="1" fontId="4" fillId="4" borderId="151" xfId="0" applyNumberFormat="1" applyFont="1" applyFill="1" applyBorder="1" applyAlignment="1" applyProtection="1">
      <alignment horizontal="right"/>
      <protection locked="0"/>
    </xf>
    <xf numFmtId="1" fontId="4" fillId="0" borderId="65" xfId="0" quotePrefix="1" applyNumberFormat="1" applyFont="1" applyBorder="1" applyAlignment="1">
      <alignment horizontal="left" wrapText="1"/>
    </xf>
    <xf numFmtId="1" fontId="4" fillId="4" borderId="149" xfId="0" applyNumberFormat="1" applyFont="1" applyFill="1" applyBorder="1" applyAlignment="1" applyProtection="1">
      <alignment horizontal="right"/>
      <protection locked="0"/>
    </xf>
    <xf numFmtId="1" fontId="4" fillId="4" borderId="148" xfId="0" applyNumberFormat="1" applyFont="1" applyFill="1" applyBorder="1" applyAlignment="1" applyProtection="1">
      <alignment horizontal="right"/>
      <protection locked="0"/>
    </xf>
    <xf numFmtId="1" fontId="4" fillId="2" borderId="0" xfId="1" applyNumberFormat="1" applyFont="1" applyFill="1" applyAlignment="1">
      <alignment horizontal="center" vertical="center"/>
    </xf>
    <xf numFmtId="1" fontId="4" fillId="2" borderId="0" xfId="1" applyNumberFormat="1" applyFont="1" applyFill="1" applyAlignment="1" applyProtection="1">
      <alignment horizontal="right"/>
      <protection hidden="1"/>
    </xf>
    <xf numFmtId="1" fontId="4" fillId="0" borderId="25" xfId="1" applyNumberFormat="1" applyFont="1" applyBorder="1" applyAlignment="1">
      <alignment vertical="center"/>
    </xf>
    <xf numFmtId="1" fontId="4" fillId="4" borderId="28" xfId="1" applyNumberFormat="1" applyFont="1" applyFill="1" applyBorder="1" applyAlignment="1" applyProtection="1">
      <alignment horizontal="right"/>
      <protection locked="0"/>
    </xf>
    <xf numFmtId="1" fontId="4" fillId="5" borderId="29" xfId="1" applyNumberFormat="1" applyFont="1" applyFill="1" applyBorder="1" applyAlignment="1">
      <alignment horizontal="right"/>
    </xf>
    <xf numFmtId="1" fontId="4" fillId="4" borderId="49" xfId="1" applyNumberFormat="1" applyFont="1" applyFill="1" applyBorder="1" applyAlignment="1" applyProtection="1">
      <alignment horizontal="right"/>
      <protection locked="0"/>
    </xf>
    <xf numFmtId="1" fontId="13" fillId="2" borderId="0" xfId="0" applyNumberFormat="1" applyFont="1" applyFill="1"/>
    <xf numFmtId="1" fontId="4" fillId="0" borderId="44" xfId="1" applyNumberFormat="1" applyFont="1" applyBorder="1" applyAlignment="1">
      <alignment vertical="center"/>
    </xf>
    <xf numFmtId="1" fontId="4" fillId="0" borderId="44" xfId="1" applyNumberFormat="1" applyFont="1" applyBorder="1" applyAlignment="1">
      <alignment horizontal="right"/>
    </xf>
    <xf numFmtId="1" fontId="4" fillId="4" borderId="47" xfId="1" applyNumberFormat="1" applyFont="1" applyFill="1" applyBorder="1" applyAlignment="1" applyProtection="1">
      <alignment horizontal="right"/>
      <protection locked="0"/>
    </xf>
    <xf numFmtId="1" fontId="4" fillId="4" borderId="57" xfId="1" applyNumberFormat="1" applyFont="1" applyFill="1" applyBorder="1" applyAlignment="1" applyProtection="1">
      <alignment horizontal="right"/>
      <protection locked="0"/>
    </xf>
    <xf numFmtId="1" fontId="4" fillId="0" borderId="97" xfId="1" applyNumberFormat="1" applyFont="1" applyBorder="1" applyAlignment="1">
      <alignment vertical="center"/>
    </xf>
    <xf numFmtId="1" fontId="4" fillId="0" borderId="65" xfId="1" applyNumberFormat="1" applyFont="1" applyBorder="1" applyAlignment="1">
      <alignment horizontal="right"/>
    </xf>
    <xf numFmtId="1" fontId="4" fillId="4" borderId="59" xfId="1" applyNumberFormat="1" applyFont="1" applyFill="1" applyBorder="1" applyAlignment="1" applyProtection="1">
      <alignment horizontal="right"/>
      <protection locked="0"/>
    </xf>
    <xf numFmtId="1" fontId="4" fillId="4" borderId="67" xfId="1" applyNumberFormat="1" applyFont="1" applyFill="1" applyBorder="1" applyAlignment="1" applyProtection="1">
      <alignment horizontal="right"/>
      <protection locked="0"/>
    </xf>
    <xf numFmtId="1" fontId="4" fillId="0" borderId="123" xfId="1" applyNumberFormat="1" applyFont="1" applyBorder="1" applyAlignment="1">
      <alignment horizontal="center" vertical="center"/>
    </xf>
    <xf numFmtId="1" fontId="4" fillId="0" borderId="32" xfId="1" applyNumberFormat="1" applyFont="1" applyBorder="1" applyAlignment="1">
      <alignment horizontal="right"/>
    </xf>
    <xf numFmtId="1" fontId="4" fillId="0" borderId="8" xfId="1" applyNumberFormat="1" applyFont="1" applyBorder="1" applyAlignment="1">
      <alignment horizontal="right"/>
    </xf>
    <xf numFmtId="1" fontId="4" fillId="0" borderId="89" xfId="1" applyNumberFormat="1" applyFont="1" applyBorder="1" applyAlignment="1">
      <alignment horizontal="right"/>
    </xf>
    <xf numFmtId="1" fontId="3" fillId="0" borderId="112" xfId="1" quotePrefix="1" applyNumberFormat="1" applyFont="1" applyBorder="1"/>
    <xf numFmtId="1" fontId="2" fillId="0" borderId="112" xfId="1" quotePrefix="1" applyNumberFormat="1" applyFont="1" applyBorder="1"/>
    <xf numFmtId="1" fontId="4" fillId="0" borderId="0" xfId="1" applyNumberFormat="1" applyFont="1" applyAlignment="1">
      <alignment horizontal="center" vertical="center" wrapText="1"/>
    </xf>
    <xf numFmtId="1" fontId="4" fillId="2" borderId="126" xfId="1" applyNumberFormat="1" applyFont="1" applyFill="1" applyBorder="1" applyAlignment="1">
      <alignment horizontal="center" vertical="center"/>
    </xf>
    <xf numFmtId="1" fontId="4" fillId="2" borderId="0" xfId="1" quotePrefix="1" applyNumberFormat="1" applyFont="1" applyFill="1" applyAlignment="1">
      <alignment horizontal="center" vertical="center"/>
    </xf>
    <xf numFmtId="1" fontId="4" fillId="0" borderId="0" xfId="0" applyNumberFormat="1" applyFont="1" applyAlignment="1">
      <alignment horizontal="center" vertical="center" wrapText="1"/>
    </xf>
    <xf numFmtId="1" fontId="4" fillId="14" borderId="0" xfId="0" applyNumberFormat="1" applyFont="1" applyFill="1" applyAlignment="1">
      <alignment horizontal="center" vertical="center" wrapText="1"/>
    </xf>
    <xf numFmtId="1" fontId="4" fillId="4" borderId="25" xfId="1" applyNumberFormat="1" applyFont="1" applyFill="1" applyBorder="1" applyAlignment="1" applyProtection="1">
      <alignment horizontal="right"/>
      <protection locked="0"/>
    </xf>
    <xf numFmtId="1" fontId="4" fillId="4" borderId="65" xfId="1" applyNumberFormat="1" applyFont="1" applyFill="1" applyBorder="1" applyAlignment="1" applyProtection="1">
      <alignment horizontal="right"/>
      <protection locked="0"/>
    </xf>
    <xf numFmtId="1" fontId="3" fillId="3" borderId="0" xfId="1" quotePrefix="1" applyNumberFormat="1" applyFont="1" applyFill="1"/>
    <xf numFmtId="1" fontId="2" fillId="3" borderId="0" xfId="1" quotePrefix="1" applyNumberFormat="1" applyFont="1" applyFill="1"/>
    <xf numFmtId="1" fontId="4" fillId="4" borderId="44" xfId="1" applyNumberFormat="1" applyFont="1" applyFill="1" applyBorder="1" applyAlignment="1" applyProtection="1">
      <alignment horizontal="right"/>
      <protection locked="0"/>
    </xf>
    <xf numFmtId="1" fontId="4" fillId="4" borderId="97" xfId="1" applyNumberFormat="1" applyFont="1" applyFill="1" applyBorder="1" applyAlignment="1" applyProtection="1">
      <alignment horizontal="right"/>
      <protection locked="0"/>
    </xf>
    <xf numFmtId="1" fontId="4" fillId="3" borderId="123" xfId="1" applyNumberFormat="1" applyFont="1" applyFill="1" applyBorder="1" applyAlignment="1">
      <alignment horizontal="right"/>
    </xf>
    <xf numFmtId="1" fontId="3" fillId="2" borderId="3" xfId="1" quotePrefix="1" applyNumberFormat="1" applyFont="1" applyFill="1" applyBorder="1"/>
    <xf numFmtId="1" fontId="2" fillId="2" borderId="3" xfId="1" quotePrefix="1" applyNumberFormat="1" applyFont="1" applyFill="1" applyBorder="1"/>
    <xf numFmtId="1" fontId="4" fillId="0" borderId="13" xfId="1" applyNumberFormat="1" applyFont="1" applyBorder="1" applyAlignment="1">
      <alignment horizontal="center" vertical="center"/>
    </xf>
    <xf numFmtId="1" fontId="4" fillId="0" borderId="15" xfId="1" applyNumberFormat="1" applyFont="1" applyBorder="1" applyAlignment="1">
      <alignment horizontal="center" vertical="center" wrapText="1"/>
    </xf>
    <xf numFmtId="1" fontId="4" fillId="0" borderId="23" xfId="1" applyNumberFormat="1" applyFont="1" applyBorder="1" applyAlignment="1">
      <alignment horizontal="right" vertical="center"/>
    </xf>
    <xf numFmtId="1" fontId="4" fillId="0" borderId="26" xfId="1" applyNumberFormat="1" applyFont="1" applyBorder="1" applyAlignment="1">
      <alignment horizontal="right" vertical="center"/>
    </xf>
    <xf numFmtId="1" fontId="4" fillId="0" borderId="30" xfId="1" applyNumberFormat="1" applyFont="1" applyBorder="1" applyAlignment="1">
      <alignment horizontal="right" vertical="center"/>
    </xf>
    <xf numFmtId="1" fontId="4" fillId="0" borderId="48" xfId="1" applyNumberFormat="1" applyFont="1" applyBorder="1" applyAlignment="1">
      <alignment horizontal="right" vertical="center"/>
    </xf>
    <xf numFmtId="1" fontId="4" fillId="0" borderId="45" xfId="1" applyNumberFormat="1" applyFont="1" applyBorder="1" applyAlignment="1">
      <alignment horizontal="right" vertical="center"/>
    </xf>
    <xf numFmtId="1" fontId="4" fillId="0" borderId="49" xfId="1" applyNumberFormat="1" applyFont="1" applyBorder="1" applyAlignment="1">
      <alignment horizontal="right" vertical="center"/>
    </xf>
    <xf numFmtId="1" fontId="4" fillId="0" borderId="68" xfId="1" applyNumberFormat="1" applyFont="1" applyBorder="1" applyAlignment="1">
      <alignment horizontal="right" vertical="center"/>
    </xf>
    <xf numFmtId="1" fontId="4" fillId="0" borderId="66" xfId="1" applyNumberFormat="1" applyFont="1" applyBorder="1" applyAlignment="1">
      <alignment horizontal="right" vertical="center"/>
    </xf>
    <xf numFmtId="1" fontId="4" fillId="0" borderId="69" xfId="1" applyNumberFormat="1" applyFont="1" applyBorder="1" applyAlignment="1">
      <alignment horizontal="right" vertical="center"/>
    </xf>
    <xf numFmtId="1" fontId="4" fillId="0" borderId="122" xfId="0" applyNumberFormat="1" applyFont="1" applyBorder="1"/>
    <xf numFmtId="1" fontId="4" fillId="0" borderId="17" xfId="0" applyNumberFormat="1" applyFont="1" applyBorder="1"/>
    <xf numFmtId="1" fontId="4" fillId="0" borderId="75" xfId="1" applyNumberFormat="1" applyFont="1" applyBorder="1" applyAlignment="1">
      <alignment horizontal="center" vertical="center" wrapText="1"/>
    </xf>
    <xf numFmtId="1" fontId="4" fillId="0" borderId="101" xfId="1" applyNumberFormat="1" applyFont="1" applyBorder="1" applyAlignment="1">
      <alignment horizontal="center" vertical="center" wrapText="1"/>
    </xf>
    <xf numFmtId="1" fontId="4" fillId="0" borderId="11" xfId="1" applyNumberFormat="1" applyFont="1" applyBorder="1" applyAlignment="1">
      <alignment horizontal="center" vertical="center" wrapText="1"/>
    </xf>
    <xf numFmtId="1" fontId="4" fillId="0" borderId="20" xfId="3" applyNumberFormat="1" applyFont="1" applyBorder="1" applyAlignment="1" applyProtection="1">
      <alignment horizontal="center" vertical="center" wrapText="1"/>
      <protection hidden="1"/>
    </xf>
    <xf numFmtId="1" fontId="4" fillId="0" borderId="100" xfId="1" applyNumberFormat="1" applyFont="1" applyBorder="1" applyAlignment="1">
      <alignment horizontal="center" vertical="center" wrapText="1"/>
    </xf>
    <xf numFmtId="1" fontId="4" fillId="0" borderId="38" xfId="1" applyNumberFormat="1" applyFont="1" applyBorder="1" applyAlignment="1">
      <alignment horizontal="right"/>
    </xf>
    <xf numFmtId="1" fontId="4" fillId="0" borderId="43" xfId="1" applyNumberFormat="1" applyFont="1" applyBorder="1" applyAlignment="1">
      <alignment horizontal="right"/>
    </xf>
    <xf numFmtId="1" fontId="4" fillId="0" borderId="46" xfId="1" applyNumberFormat="1" applyFont="1" applyBorder="1" applyAlignment="1">
      <alignment horizontal="right"/>
    </xf>
    <xf numFmtId="1" fontId="4" fillId="0" borderId="50" xfId="1" applyNumberFormat="1" applyFont="1" applyBorder="1" applyAlignment="1">
      <alignment horizontal="right"/>
    </xf>
    <xf numFmtId="1" fontId="4" fillId="0" borderId="46" xfId="1" applyNumberFormat="1" applyFont="1" applyBorder="1" applyAlignment="1">
      <alignment horizontal="right" vertical="center"/>
    </xf>
    <xf numFmtId="1" fontId="4" fillId="0" borderId="50" xfId="1" applyNumberFormat="1" applyFont="1" applyBorder="1" applyAlignment="1">
      <alignment horizontal="right" vertical="center"/>
    </xf>
    <xf numFmtId="1" fontId="4" fillId="4" borderId="45" xfId="1" applyNumberFormat="1" applyFont="1" applyFill="1" applyBorder="1" applyAlignment="1" applyProtection="1">
      <alignment horizontal="right" vertical="center"/>
      <protection locked="0"/>
    </xf>
    <xf numFmtId="1" fontId="4" fillId="4" borderId="46" xfId="1" applyNumberFormat="1" applyFont="1" applyFill="1" applyBorder="1" applyAlignment="1" applyProtection="1">
      <alignment horizontal="right" vertical="center"/>
      <protection locked="0"/>
    </xf>
    <xf numFmtId="1" fontId="4" fillId="4" borderId="147" xfId="1" applyNumberFormat="1" applyFont="1" applyFill="1" applyBorder="1" applyAlignment="1" applyProtection="1">
      <alignment horizontal="right" vertical="center"/>
      <protection locked="0"/>
    </xf>
    <xf numFmtId="1" fontId="4" fillId="4" borderId="108" xfId="1" applyNumberFormat="1" applyFont="1" applyFill="1" applyBorder="1" applyAlignment="1" applyProtection="1">
      <alignment horizontal="right" vertical="center"/>
      <protection locked="0"/>
    </xf>
    <xf numFmtId="1" fontId="4" fillId="4" borderId="48" xfId="1" applyNumberFormat="1" applyFont="1" applyFill="1" applyBorder="1" applyAlignment="1" applyProtection="1">
      <alignment horizontal="right" vertical="center"/>
      <protection locked="0"/>
    </xf>
    <xf numFmtId="1" fontId="4" fillId="4" borderId="50" xfId="1" applyNumberFormat="1" applyFont="1" applyFill="1" applyBorder="1" applyAlignment="1" applyProtection="1">
      <alignment horizontal="right" vertical="center"/>
      <protection locked="0"/>
    </xf>
    <xf numFmtId="1" fontId="4" fillId="2" borderId="0" xfId="0" applyNumberFormat="1" applyFont="1" applyFill="1" applyAlignment="1">
      <alignment vertical="center"/>
    </xf>
    <xf numFmtId="0" fontId="12" fillId="0" borderId="0" xfId="0" applyFont="1" applyAlignment="1">
      <alignment vertical="center"/>
    </xf>
    <xf numFmtId="1" fontId="4" fillId="0" borderId="0" xfId="0" applyNumberFormat="1" applyFont="1" applyAlignment="1">
      <alignment vertical="center"/>
    </xf>
    <xf numFmtId="1" fontId="4" fillId="14" borderId="0" xfId="0" applyNumberFormat="1" applyFont="1" applyFill="1" applyAlignment="1">
      <alignment vertical="center"/>
    </xf>
    <xf numFmtId="1" fontId="2" fillId="14" borderId="0" xfId="0" applyNumberFormat="1" applyFont="1" applyFill="1" applyAlignment="1">
      <alignment vertical="center"/>
    </xf>
    <xf numFmtId="1" fontId="4" fillId="6" borderId="0" xfId="0" applyNumberFormat="1" applyFont="1" applyFill="1" applyAlignment="1">
      <alignment vertical="center"/>
    </xf>
    <xf numFmtId="1" fontId="4" fillId="0" borderId="68" xfId="1" applyNumberFormat="1" applyFont="1" applyBorder="1" applyAlignment="1">
      <alignment horizontal="right"/>
    </xf>
    <xf numFmtId="1" fontId="4" fillId="0" borderId="58" xfId="1" applyNumberFormat="1" applyFont="1" applyBorder="1" applyAlignment="1">
      <alignment horizontal="right"/>
    </xf>
    <xf numFmtId="1" fontId="4" fillId="0" borderId="70" xfId="1" applyNumberFormat="1" applyFont="1" applyBorder="1" applyAlignment="1">
      <alignment horizontal="right"/>
    </xf>
    <xf numFmtId="1" fontId="4" fillId="3" borderId="23" xfId="1" applyNumberFormat="1" applyFont="1" applyFill="1" applyBorder="1" applyAlignment="1">
      <alignment horizontal="right"/>
    </xf>
    <xf numFmtId="1" fontId="4" fillId="3" borderId="24" xfId="1" applyNumberFormat="1" applyFont="1" applyFill="1" applyBorder="1" applyAlignment="1">
      <alignment horizontal="right"/>
    </xf>
    <xf numFmtId="1" fontId="4" fillId="3" borderId="106" xfId="1" applyNumberFormat="1" applyFont="1" applyFill="1" applyBorder="1" applyAlignment="1">
      <alignment horizontal="right"/>
    </xf>
    <xf numFmtId="1" fontId="4" fillId="4" borderId="96" xfId="1" applyNumberFormat="1" applyFont="1" applyFill="1" applyBorder="1" applyAlignment="1" applyProtection="1">
      <alignment horizontal="right"/>
      <protection locked="0"/>
    </xf>
    <xf numFmtId="1" fontId="4" fillId="4" borderId="117" xfId="1" applyNumberFormat="1" applyFont="1" applyFill="1" applyBorder="1" applyAlignment="1" applyProtection="1">
      <alignment horizontal="right"/>
      <protection locked="0"/>
    </xf>
    <xf numFmtId="1" fontId="4" fillId="4" borderId="150" xfId="1" applyNumberFormat="1" applyFont="1" applyFill="1" applyBorder="1" applyAlignment="1" applyProtection="1">
      <alignment horizontal="right"/>
      <protection locked="0"/>
    </xf>
    <xf numFmtId="1" fontId="4" fillId="0" borderId="69" xfId="1" applyNumberFormat="1" applyFont="1" applyBorder="1" applyAlignment="1">
      <alignment horizontal="right"/>
    </xf>
    <xf numFmtId="1" fontId="3" fillId="0" borderId="0" xfId="1" quotePrefix="1" applyNumberFormat="1" applyFont="1"/>
    <xf numFmtId="1" fontId="4" fillId="0" borderId="0" xfId="0" applyNumberFormat="1" applyFont="1" applyAlignment="1">
      <alignment vertical="center" wrapText="1"/>
    </xf>
    <xf numFmtId="1" fontId="4" fillId="0" borderId="5" xfId="1" applyNumberFormat="1" applyFont="1" applyBorder="1" applyAlignment="1">
      <alignment horizontal="center" vertical="center" wrapText="1"/>
    </xf>
    <xf numFmtId="1" fontId="4" fillId="0" borderId="112" xfId="1" applyNumberFormat="1" applyFont="1" applyBorder="1" applyAlignment="1">
      <alignment horizontal="center" vertical="center" wrapText="1"/>
    </xf>
    <xf numFmtId="1" fontId="4" fillId="0" borderId="76"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75" xfId="0" applyNumberFormat="1" applyFont="1" applyBorder="1" applyAlignment="1">
      <alignment horizontal="center" vertical="center"/>
    </xf>
    <xf numFmtId="1" fontId="4" fillId="0" borderId="154" xfId="1" applyNumberFormat="1" applyFont="1" applyBorder="1" applyAlignment="1">
      <alignment horizontal="right" wrapText="1"/>
    </xf>
    <xf numFmtId="1" fontId="4" fillId="0" borderId="81" xfId="1" applyNumberFormat="1" applyFont="1" applyBorder="1" applyAlignment="1">
      <alignment horizontal="right" wrapText="1"/>
    </xf>
    <xf numFmtId="1" fontId="4" fillId="0" borderId="74" xfId="1" applyNumberFormat="1" applyFont="1" applyBorder="1" applyAlignment="1">
      <alignment horizontal="right"/>
    </xf>
    <xf numFmtId="1" fontId="4" fillId="12" borderId="81" xfId="1" applyNumberFormat="1" applyFont="1" applyFill="1" applyBorder="1" applyAlignment="1" applyProtection="1">
      <alignment horizontal="right"/>
      <protection locked="0"/>
    </xf>
    <xf numFmtId="1" fontId="4" fillId="12" borderId="74" xfId="1" applyNumberFormat="1" applyFont="1" applyFill="1" applyBorder="1" applyAlignment="1" applyProtection="1">
      <alignment horizontal="right"/>
      <protection locked="0"/>
    </xf>
    <xf numFmtId="1" fontId="4" fillId="12" borderId="155" xfId="1" applyNumberFormat="1" applyFont="1" applyFill="1" applyBorder="1" applyAlignment="1" applyProtection="1">
      <alignment horizontal="right"/>
      <protection locked="0"/>
    </xf>
    <xf numFmtId="1" fontId="4" fillId="12" borderId="156" xfId="1" applyNumberFormat="1" applyFont="1" applyFill="1" applyBorder="1" applyAlignment="1" applyProtection="1">
      <alignment horizontal="right"/>
      <protection locked="0"/>
    </xf>
    <xf numFmtId="1" fontId="4" fillId="0" borderId="0" xfId="1" applyNumberFormat="1" applyFont="1" applyAlignment="1" applyProtection="1">
      <alignment horizontal="right" wrapText="1"/>
      <protection locked="0"/>
    </xf>
    <xf numFmtId="1" fontId="4" fillId="12" borderId="41" xfId="1" applyNumberFormat="1" applyFont="1" applyFill="1" applyBorder="1" applyAlignment="1" applyProtection="1">
      <alignment horizontal="right"/>
      <protection locked="0"/>
    </xf>
    <xf numFmtId="1" fontId="4" fillId="12" borderId="42" xfId="1" applyNumberFormat="1" applyFont="1" applyFill="1" applyBorder="1" applyAlignment="1" applyProtection="1">
      <alignment horizontal="right"/>
      <protection locked="0"/>
    </xf>
    <xf numFmtId="1" fontId="4" fillId="12" borderId="146" xfId="1" applyNumberFormat="1" applyFont="1" applyFill="1" applyBorder="1" applyAlignment="1" applyProtection="1">
      <alignment horizontal="right"/>
      <protection locked="0"/>
    </xf>
    <xf numFmtId="1" fontId="4" fillId="12" borderId="115" xfId="1" applyNumberFormat="1" applyFont="1" applyFill="1" applyBorder="1" applyAlignment="1" applyProtection="1">
      <alignment horizontal="right"/>
      <protection locked="0"/>
    </xf>
    <xf numFmtId="1" fontId="4" fillId="0" borderId="20" xfId="1" applyNumberFormat="1" applyFont="1" applyBorder="1" applyAlignment="1">
      <alignment horizontal="right"/>
    </xf>
    <xf numFmtId="1" fontId="4" fillId="12" borderId="20" xfId="1" applyNumberFormat="1" applyFont="1" applyFill="1" applyBorder="1" applyAlignment="1" applyProtection="1">
      <alignment horizontal="right"/>
      <protection locked="0"/>
    </xf>
    <xf numFmtId="1" fontId="4" fillId="12" borderId="13" xfId="1" applyNumberFormat="1" applyFont="1" applyFill="1" applyBorder="1" applyAlignment="1" applyProtection="1">
      <alignment horizontal="right"/>
      <protection locked="0"/>
    </xf>
    <xf numFmtId="1" fontId="4" fillId="12" borderId="3" xfId="1" applyNumberFormat="1" applyFont="1" applyFill="1" applyBorder="1" applyAlignment="1" applyProtection="1">
      <alignment horizontal="right"/>
      <protection locked="0"/>
    </xf>
    <xf numFmtId="1" fontId="4" fillId="12" borderId="104" xfId="1" applyNumberFormat="1" applyFont="1" applyFill="1" applyBorder="1" applyAlignment="1" applyProtection="1">
      <alignment horizontal="right"/>
      <protection locked="0"/>
    </xf>
    <xf numFmtId="1" fontId="4" fillId="0" borderId="0" xfId="1" applyNumberFormat="1" applyFont="1" applyAlignment="1">
      <alignment horizontal="right"/>
    </xf>
    <xf numFmtId="1" fontId="4" fillId="0" borderId="25" xfId="1" applyNumberFormat="1" applyFont="1" applyBorder="1" applyAlignment="1">
      <alignment horizontal="left"/>
    </xf>
    <xf numFmtId="1" fontId="4" fillId="12" borderId="23" xfId="1" applyNumberFormat="1" applyFont="1" applyFill="1" applyBorder="1" applyAlignment="1" applyProtection="1">
      <alignment horizontal="right"/>
      <protection locked="0"/>
    </xf>
    <xf numFmtId="1" fontId="4" fillId="12" borderId="30" xfId="1" applyNumberFormat="1" applyFont="1" applyFill="1" applyBorder="1" applyAlignment="1" applyProtection="1">
      <alignment horizontal="right"/>
      <protection locked="0"/>
    </xf>
    <xf numFmtId="1" fontId="4" fillId="12" borderId="138" xfId="1" applyNumberFormat="1" applyFont="1" applyFill="1" applyBorder="1" applyAlignment="1" applyProtection="1">
      <alignment horizontal="right"/>
      <protection locked="0"/>
    </xf>
    <xf numFmtId="1" fontId="4" fillId="12" borderId="106" xfId="1" applyNumberFormat="1" applyFont="1" applyFill="1" applyBorder="1" applyAlignment="1" applyProtection="1">
      <alignment horizontal="right"/>
      <protection locked="0"/>
    </xf>
    <xf numFmtId="1" fontId="4" fillId="0" borderId="44" xfId="1" applyNumberFormat="1" applyFont="1" applyBorder="1" applyAlignment="1">
      <alignment horizontal="left"/>
    </xf>
    <xf numFmtId="1" fontId="4" fillId="12" borderId="48" xfId="1" applyNumberFormat="1" applyFont="1" applyFill="1" applyBorder="1" applyAlignment="1" applyProtection="1">
      <alignment horizontal="right"/>
      <protection locked="0"/>
    </xf>
    <xf numFmtId="1" fontId="4" fillId="12" borderId="49" xfId="1" applyNumberFormat="1" applyFont="1" applyFill="1" applyBorder="1" applyAlignment="1" applyProtection="1">
      <alignment horizontal="right"/>
      <protection locked="0"/>
    </xf>
    <xf numFmtId="1" fontId="4" fillId="12" borderId="117" xfId="1" applyNumberFormat="1" applyFont="1" applyFill="1" applyBorder="1" applyAlignment="1" applyProtection="1">
      <alignment horizontal="right"/>
      <protection locked="0"/>
    </xf>
    <xf numFmtId="1" fontId="4" fillId="12" borderId="108" xfId="1" applyNumberFormat="1" applyFont="1" applyFill="1" applyBorder="1" applyAlignment="1" applyProtection="1">
      <alignment horizontal="right"/>
      <protection locked="0"/>
    </xf>
    <xf numFmtId="1" fontId="4" fillId="0" borderId="65" xfId="1" applyNumberFormat="1" applyFont="1" applyBorder="1" applyAlignment="1">
      <alignment horizontal="left"/>
    </xf>
    <xf numFmtId="1" fontId="4" fillId="12" borderId="68" xfId="1" applyNumberFormat="1" applyFont="1" applyFill="1" applyBorder="1" applyAlignment="1" applyProtection="1">
      <alignment horizontal="right"/>
      <protection locked="0"/>
    </xf>
    <xf numFmtId="1" fontId="4" fillId="12" borderId="69" xfId="1" applyNumberFormat="1" applyFont="1" applyFill="1" applyBorder="1" applyAlignment="1" applyProtection="1">
      <alignment horizontal="right"/>
      <protection locked="0"/>
    </xf>
    <xf numFmtId="1" fontId="4" fillId="12" borderId="142" xfId="1" applyNumberFormat="1" applyFont="1" applyFill="1" applyBorder="1" applyAlignment="1" applyProtection="1">
      <alignment horizontal="right"/>
      <protection locked="0"/>
    </xf>
    <xf numFmtId="1" fontId="4" fillId="12" borderId="143" xfId="1" applyNumberFormat="1" applyFont="1" applyFill="1" applyBorder="1" applyAlignment="1" applyProtection="1">
      <alignment horizontal="right"/>
      <protection locked="0"/>
    </xf>
    <xf numFmtId="1" fontId="4" fillId="0" borderId="123" xfId="1" applyNumberFormat="1" applyFont="1" applyBorder="1" applyAlignment="1">
      <alignment horizontal="left"/>
    </xf>
    <xf numFmtId="1" fontId="4" fillId="12" borderId="122" xfId="1" applyNumberFormat="1" applyFont="1" applyFill="1" applyBorder="1" applyAlignment="1" applyProtection="1">
      <alignment horizontal="right"/>
      <protection locked="0"/>
    </xf>
    <xf numFmtId="1" fontId="4" fillId="12" borderId="10" xfId="1" applyNumberFormat="1" applyFont="1" applyFill="1" applyBorder="1" applyAlignment="1" applyProtection="1">
      <alignment horizontal="right"/>
      <protection locked="0"/>
    </xf>
    <xf numFmtId="1" fontId="4" fillId="12" borderId="7" xfId="1" applyNumberFormat="1" applyFont="1" applyFill="1" applyBorder="1" applyAlignment="1" applyProtection="1">
      <alignment horizontal="right"/>
      <protection locked="0"/>
    </xf>
    <xf numFmtId="1" fontId="4" fillId="12" borderId="100" xfId="1" applyNumberFormat="1" applyFont="1" applyFill="1" applyBorder="1" applyAlignment="1" applyProtection="1">
      <alignment horizontal="right"/>
      <protection locked="0"/>
    </xf>
    <xf numFmtId="1" fontId="4" fillId="0" borderId="64" xfId="1" applyNumberFormat="1" applyFont="1" applyBorder="1"/>
    <xf numFmtId="1" fontId="4" fillId="0" borderId="75" xfId="1" applyNumberFormat="1" applyFont="1" applyBorder="1" applyAlignment="1">
      <alignment horizontal="right"/>
    </xf>
    <xf numFmtId="1" fontId="4" fillId="0" borderId="76" xfId="1" applyNumberFormat="1" applyFont="1" applyBorder="1" applyAlignment="1">
      <alignment horizontal="right"/>
    </xf>
    <xf numFmtId="1" fontId="4" fillId="0" borderId="112" xfId="1" applyNumberFormat="1" applyFont="1" applyBorder="1" applyAlignment="1">
      <alignment horizontal="right"/>
    </xf>
    <xf numFmtId="1" fontId="4" fillId="0" borderId="103" xfId="1" applyNumberFormat="1" applyFont="1" applyBorder="1" applyAlignment="1">
      <alignment horizontal="right"/>
    </xf>
    <xf numFmtId="1" fontId="4" fillId="0" borderId="5" xfId="1" applyNumberFormat="1" applyFont="1" applyBorder="1" applyAlignment="1">
      <alignment horizontal="right"/>
    </xf>
    <xf numFmtId="1" fontId="4" fillId="12" borderId="17" xfId="1" applyNumberFormat="1" applyFont="1" applyFill="1" applyBorder="1" applyAlignment="1" applyProtection="1">
      <alignment horizontal="right"/>
      <protection locked="0"/>
    </xf>
    <xf numFmtId="1" fontId="4" fillId="14" borderId="123" xfId="0" applyNumberFormat="1" applyFont="1" applyFill="1" applyBorder="1"/>
    <xf numFmtId="1" fontId="4" fillId="0" borderId="30" xfId="1" applyNumberFormat="1" applyFont="1" applyBorder="1" applyAlignment="1">
      <alignment horizontal="left" vertical="center"/>
    </xf>
    <xf numFmtId="1" fontId="4" fillId="0" borderId="42" xfId="1" applyNumberFormat="1" applyFont="1" applyBorder="1" applyAlignment="1">
      <alignment horizontal="left" vertical="center"/>
    </xf>
    <xf numFmtId="1" fontId="4" fillId="17" borderId="123" xfId="1" applyNumberFormat="1" applyFont="1" applyFill="1" applyBorder="1" applyAlignment="1" applyProtection="1">
      <alignment horizontal="right"/>
      <protection locked="0"/>
    </xf>
    <xf numFmtId="1" fontId="2" fillId="0" borderId="0" xfId="0" applyNumberFormat="1" applyFont="1" applyAlignment="1">
      <alignment horizontal="center"/>
    </xf>
    <xf numFmtId="1" fontId="2" fillId="0" borderId="0" xfId="5" applyNumberFormat="1" applyFont="1" applyAlignment="1">
      <alignment horizontal="left"/>
    </xf>
    <xf numFmtId="1" fontId="3" fillId="0" borderId="0" xfId="2" applyNumberFormat="1" applyFont="1" applyAlignment="1">
      <alignment vertical="center" wrapText="1"/>
    </xf>
    <xf numFmtId="1" fontId="5" fillId="0" borderId="3" xfId="2" applyNumberFormat="1" applyFont="1" applyBorder="1"/>
    <xf numFmtId="1" fontId="3" fillId="0" borderId="3" xfId="2" applyNumberFormat="1" applyFont="1" applyBorder="1"/>
    <xf numFmtId="1" fontId="2" fillId="0" borderId="3" xfId="2" applyNumberFormat="1" applyFont="1" applyBorder="1"/>
    <xf numFmtId="1" fontId="2" fillId="0" borderId="0" xfId="2" applyNumberFormat="1" applyFont="1"/>
    <xf numFmtId="1" fontId="2" fillId="0" borderId="0" xfId="2" applyNumberFormat="1" applyFont="1" applyAlignment="1">
      <alignment vertical="center"/>
    </xf>
    <xf numFmtId="1" fontId="4" fillId="0" borderId="0" xfId="2" applyNumberFormat="1" applyFont="1"/>
    <xf numFmtId="1" fontId="2" fillId="0" borderId="0" xfId="0" applyNumberFormat="1" applyFont="1" applyAlignment="1">
      <alignment vertical="center"/>
    </xf>
    <xf numFmtId="1" fontId="4" fillId="0" borderId="123" xfId="3" applyNumberFormat="1" applyFont="1" applyBorder="1" applyAlignment="1" applyProtection="1">
      <alignment horizontal="center" vertical="center" wrapText="1"/>
      <protection hidden="1"/>
    </xf>
    <xf numFmtId="1" fontId="4" fillId="0" borderId="76" xfId="2" applyNumberFormat="1" applyFont="1" applyBorder="1" applyAlignment="1">
      <alignment horizontal="center" vertical="center"/>
    </xf>
    <xf numFmtId="1" fontId="4" fillId="0" borderId="11" xfId="2" applyNumberFormat="1" applyFont="1" applyBorder="1" applyAlignment="1">
      <alignment horizontal="center" vertical="center"/>
    </xf>
    <xf numFmtId="1" fontId="4" fillId="0" borderId="75" xfId="2" applyNumberFormat="1" applyFont="1" applyBorder="1" applyAlignment="1">
      <alignment horizontal="center" vertical="center"/>
    </xf>
    <xf numFmtId="1" fontId="4" fillId="0" borderId="75" xfId="2" applyNumberFormat="1" applyFont="1" applyBorder="1" applyAlignment="1" applyProtection="1">
      <alignment horizontal="center" vertical="center"/>
      <protection hidden="1"/>
    </xf>
    <xf numFmtId="1" fontId="4" fillId="0" borderId="11" xfId="2" applyNumberFormat="1" applyFont="1" applyBorder="1" applyAlignment="1" applyProtection="1">
      <alignment horizontal="center" vertical="center"/>
      <protection hidden="1"/>
    </xf>
    <xf numFmtId="1" fontId="4" fillId="0" borderId="122" xfId="0" applyNumberFormat="1" applyFont="1" applyBorder="1" applyAlignment="1">
      <alignment horizontal="center" vertical="center"/>
    </xf>
    <xf numFmtId="1" fontId="4" fillId="0" borderId="90" xfId="0" applyNumberFormat="1" applyFont="1" applyBorder="1" applyAlignment="1">
      <alignment horizontal="center" vertical="center"/>
    </xf>
    <xf numFmtId="1" fontId="4" fillId="0" borderId="122" xfId="6" applyNumberFormat="1" applyFont="1" applyBorder="1" applyAlignment="1">
      <alignment horizontal="center" vertical="center" wrapText="1"/>
    </xf>
    <xf numFmtId="1" fontId="4" fillId="0" borderId="90" xfId="6" applyNumberFormat="1" applyFont="1" applyBorder="1" applyAlignment="1">
      <alignment horizontal="center" vertical="center" wrapText="1"/>
    </xf>
    <xf numFmtId="1" fontId="4" fillId="0" borderId="130" xfId="6" applyNumberFormat="1" applyFont="1" applyBorder="1" applyAlignment="1">
      <alignment horizontal="center" vertical="center" wrapText="1"/>
    </xf>
    <xf numFmtId="1" fontId="4" fillId="0" borderId="100" xfId="6" applyNumberFormat="1" applyFont="1" applyBorder="1" applyAlignment="1">
      <alignment horizontal="center" vertical="center" wrapText="1"/>
    </xf>
    <xf numFmtId="1" fontId="4" fillId="0" borderId="94" xfId="6" applyNumberFormat="1" applyFont="1" applyBorder="1" applyAlignment="1">
      <alignment horizontal="center" vertical="center" wrapText="1"/>
    </xf>
    <xf numFmtId="1" fontId="4" fillId="0" borderId="17" xfId="6" applyNumberFormat="1" applyFont="1" applyBorder="1" applyAlignment="1">
      <alignment horizontal="center" vertical="center" wrapText="1"/>
    </xf>
    <xf numFmtId="3" fontId="19" fillId="3" borderId="23" xfId="2" applyNumberFormat="1" applyFont="1" applyFill="1" applyBorder="1"/>
    <xf numFmtId="1" fontId="4" fillId="0" borderId="26" xfId="2" applyNumberFormat="1" applyFont="1" applyBorder="1" applyAlignment="1">
      <alignment horizontal="right"/>
    </xf>
    <xf numFmtId="1" fontId="4" fillId="0" borderId="24" xfId="2" applyNumberFormat="1" applyFont="1" applyBorder="1" applyAlignment="1">
      <alignment horizontal="right"/>
    </xf>
    <xf numFmtId="1" fontId="4" fillId="12" borderId="23" xfId="2" applyNumberFormat="1" applyFont="1" applyFill="1" applyBorder="1" applyAlignment="1" applyProtection="1">
      <alignment horizontal="right"/>
      <protection locked="0"/>
    </xf>
    <xf numFmtId="1" fontId="4" fillId="12" borderId="24" xfId="2" applyNumberFormat="1" applyFont="1" applyFill="1" applyBorder="1" applyAlignment="1" applyProtection="1">
      <alignment horizontal="right"/>
      <protection locked="0"/>
    </xf>
    <xf numFmtId="1" fontId="4" fillId="5" borderId="23" xfId="2" applyNumberFormat="1" applyFont="1" applyFill="1" applyBorder="1" applyAlignment="1">
      <alignment horizontal="right"/>
    </xf>
    <xf numFmtId="1" fontId="4" fillId="5" borderId="24" xfId="2" applyNumberFormat="1" applyFont="1" applyFill="1" applyBorder="1" applyAlignment="1">
      <alignment horizontal="right"/>
    </xf>
    <xf numFmtId="1" fontId="4" fillId="5" borderId="96" xfId="2" applyNumberFormat="1" applyFont="1" applyFill="1" applyBorder="1" applyAlignment="1">
      <alignment horizontal="right"/>
    </xf>
    <xf numFmtId="1" fontId="4" fillId="12" borderId="160" xfId="2" applyNumberFormat="1" applyFont="1" applyFill="1" applyBorder="1" applyAlignment="1" applyProtection="1">
      <alignment horizontal="right"/>
      <protection locked="0"/>
    </xf>
    <xf numFmtId="1" fontId="4" fillId="12" borderId="106" xfId="2" applyNumberFormat="1" applyFont="1" applyFill="1" applyBorder="1" applyAlignment="1" applyProtection="1">
      <alignment horizontal="right"/>
      <protection locked="0"/>
    </xf>
    <xf numFmtId="3" fontId="19" fillId="3" borderId="41" xfId="2" applyNumberFormat="1" applyFont="1" applyFill="1" applyBorder="1"/>
    <xf numFmtId="1" fontId="4" fillId="0" borderId="45" xfId="2" applyNumberFormat="1" applyFont="1" applyBorder="1" applyAlignment="1">
      <alignment horizontal="right"/>
    </xf>
    <xf numFmtId="1" fontId="4" fillId="0" borderId="50" xfId="2" applyNumberFormat="1" applyFont="1" applyBorder="1" applyAlignment="1">
      <alignment horizontal="right"/>
    </xf>
    <xf numFmtId="1" fontId="4" fillId="12" borderId="48" xfId="2" applyNumberFormat="1" applyFont="1" applyFill="1" applyBorder="1" applyAlignment="1" applyProtection="1">
      <alignment horizontal="right"/>
      <protection locked="0"/>
    </xf>
    <xf numFmtId="1" fontId="4" fillId="12" borderId="50" xfId="2" applyNumberFormat="1" applyFont="1" applyFill="1" applyBorder="1" applyAlignment="1" applyProtection="1">
      <alignment horizontal="right"/>
      <protection locked="0"/>
    </xf>
    <xf numFmtId="1" fontId="4" fillId="5" borderId="41" xfId="2" applyNumberFormat="1" applyFont="1" applyFill="1" applyBorder="1" applyAlignment="1">
      <alignment horizontal="right"/>
    </xf>
    <xf numFmtId="1" fontId="4" fillId="5" borderId="43" xfId="2" applyNumberFormat="1" applyFont="1" applyFill="1" applyBorder="1" applyAlignment="1">
      <alignment horizontal="right"/>
    </xf>
    <xf numFmtId="1" fontId="4" fillId="5" borderId="48" xfId="2" applyNumberFormat="1" applyFont="1" applyFill="1" applyBorder="1" applyAlignment="1">
      <alignment horizontal="right"/>
    </xf>
    <xf numFmtId="1" fontId="4" fillId="5" borderId="50" xfId="2" applyNumberFormat="1" applyFont="1" applyFill="1" applyBorder="1" applyAlignment="1">
      <alignment horizontal="right"/>
    </xf>
    <xf numFmtId="1" fontId="4" fillId="5" borderId="148" xfId="2" applyNumberFormat="1" applyFont="1" applyFill="1" applyBorder="1" applyAlignment="1">
      <alignment horizontal="right"/>
    </xf>
    <xf numFmtId="1" fontId="4" fillId="12" borderId="161" xfId="2" applyNumberFormat="1" applyFont="1" applyFill="1" applyBorder="1" applyAlignment="1" applyProtection="1">
      <alignment horizontal="right"/>
      <protection locked="0"/>
    </xf>
    <xf numFmtId="1" fontId="4" fillId="12" borderId="108" xfId="2" applyNumberFormat="1" applyFont="1" applyFill="1" applyBorder="1" applyAlignment="1" applyProtection="1">
      <alignment horizontal="right"/>
      <protection locked="0"/>
    </xf>
    <xf numFmtId="1" fontId="4" fillId="0" borderId="13" xfId="1" applyNumberFormat="1" applyFont="1" applyBorder="1" applyAlignment="1">
      <alignment horizontal="left" vertical="center"/>
    </xf>
    <xf numFmtId="3" fontId="19" fillId="3" borderId="61" xfId="2" applyNumberFormat="1" applyFont="1" applyFill="1" applyBorder="1"/>
    <xf numFmtId="1" fontId="4" fillId="0" borderId="51" xfId="2" applyNumberFormat="1" applyFont="1" applyBorder="1" applyAlignment="1">
      <alignment horizontal="right"/>
    </xf>
    <xf numFmtId="1" fontId="4" fillId="0" borderId="56" xfId="2" applyNumberFormat="1" applyFont="1" applyBorder="1" applyAlignment="1">
      <alignment horizontal="right"/>
    </xf>
    <xf numFmtId="1" fontId="4" fillId="12" borderId="68" xfId="2" applyNumberFormat="1" applyFont="1" applyFill="1" applyBorder="1" applyAlignment="1" applyProtection="1">
      <alignment horizontal="right"/>
      <protection locked="0"/>
    </xf>
    <xf numFmtId="1" fontId="4" fillId="12" borderId="70" xfId="2" applyNumberFormat="1" applyFont="1" applyFill="1" applyBorder="1" applyAlignment="1" applyProtection="1">
      <alignment horizontal="right"/>
      <protection locked="0"/>
    </xf>
    <xf numFmtId="1" fontId="4" fillId="5" borderId="61" xfId="2" applyNumberFormat="1" applyFont="1" applyFill="1" applyBorder="1" applyAlignment="1">
      <alignment horizontal="right"/>
    </xf>
    <xf numFmtId="1" fontId="4" fillId="5" borderId="63" xfId="2" applyNumberFormat="1" applyFont="1" applyFill="1" applyBorder="1" applyAlignment="1">
      <alignment horizontal="right"/>
    </xf>
    <xf numFmtId="1" fontId="4" fillId="5" borderId="98" xfId="2" applyNumberFormat="1" applyFont="1" applyFill="1" applyBorder="1" applyAlignment="1">
      <alignment horizontal="right"/>
    </xf>
    <xf numFmtId="1" fontId="4" fillId="12" borderId="162" xfId="2" applyNumberFormat="1" applyFont="1" applyFill="1" applyBorder="1" applyAlignment="1" applyProtection="1">
      <alignment horizontal="right"/>
      <protection locked="0"/>
    </xf>
    <xf numFmtId="1" fontId="4" fillId="12" borderId="110" xfId="2" applyNumberFormat="1" applyFont="1" applyFill="1" applyBorder="1" applyAlignment="1" applyProtection="1">
      <alignment horizontal="right"/>
      <protection locked="0"/>
    </xf>
    <xf numFmtId="1" fontId="4" fillId="12" borderId="56" xfId="2" applyNumberFormat="1" applyFont="1" applyFill="1" applyBorder="1" applyAlignment="1" applyProtection="1">
      <alignment horizontal="right"/>
      <protection locked="0"/>
    </xf>
    <xf numFmtId="1" fontId="4" fillId="12" borderId="96" xfId="2" applyNumberFormat="1" applyFont="1" applyFill="1" applyBorder="1" applyAlignment="1" applyProtection="1">
      <alignment horizontal="right"/>
      <protection locked="0"/>
    </xf>
    <xf numFmtId="1" fontId="4" fillId="12" borderId="150" xfId="2" applyNumberFormat="1" applyFont="1" applyFill="1" applyBorder="1" applyAlignment="1" applyProtection="1">
      <alignment horizontal="right"/>
      <protection locked="0"/>
    </xf>
    <xf numFmtId="3" fontId="19" fillId="3" borderId="20" xfId="2" applyNumberFormat="1" applyFont="1" applyFill="1" applyBorder="1"/>
    <xf numFmtId="1" fontId="4" fillId="0" borderId="66" xfId="2" applyNumberFormat="1" applyFont="1" applyBorder="1" applyAlignment="1">
      <alignment horizontal="right"/>
    </xf>
    <xf numFmtId="1" fontId="4" fillId="0" borderId="70" xfId="2" applyNumberFormat="1" applyFont="1" applyBorder="1" applyAlignment="1">
      <alignment horizontal="right"/>
    </xf>
    <xf numFmtId="1" fontId="4" fillId="12" borderId="54" xfId="2" applyNumberFormat="1" applyFont="1" applyFill="1" applyBorder="1" applyAlignment="1" applyProtection="1">
      <alignment horizontal="right"/>
      <protection locked="0"/>
    </xf>
    <xf numFmtId="1" fontId="4" fillId="12" borderId="151" xfId="2" applyNumberFormat="1" applyFont="1" applyFill="1" applyBorder="1" applyAlignment="1" applyProtection="1">
      <alignment horizontal="right"/>
      <protection locked="0"/>
    </xf>
    <xf numFmtId="1" fontId="4" fillId="12" borderId="163" xfId="2" applyNumberFormat="1" applyFont="1" applyFill="1" applyBorder="1" applyAlignment="1" applyProtection="1">
      <alignment horizontal="right"/>
      <protection locked="0"/>
    </xf>
    <xf numFmtId="1" fontId="4" fillId="12" borderId="143" xfId="2" applyNumberFormat="1" applyFont="1" applyFill="1" applyBorder="1" applyAlignment="1" applyProtection="1">
      <alignment horizontal="right"/>
      <protection locked="0"/>
    </xf>
    <xf numFmtId="1" fontId="4" fillId="0" borderId="30" xfId="3" applyNumberFormat="1" applyFont="1" applyBorder="1" applyAlignment="1">
      <alignment horizontal="left" vertical="center"/>
    </xf>
    <xf numFmtId="1" fontId="4" fillId="0" borderId="37" xfId="2" applyNumberFormat="1" applyFont="1" applyBorder="1" applyAlignment="1">
      <alignment horizontal="right"/>
    </xf>
    <xf numFmtId="1" fontId="4" fillId="0" borderId="43" xfId="2" applyNumberFormat="1" applyFont="1" applyBorder="1" applyAlignment="1">
      <alignment horizontal="right"/>
    </xf>
    <xf numFmtId="1" fontId="4" fillId="0" borderId="13" xfId="3" applyNumberFormat="1" applyFont="1" applyBorder="1" applyAlignment="1">
      <alignment horizontal="left" vertical="center" wrapText="1"/>
    </xf>
    <xf numFmtId="3" fontId="19" fillId="3" borderId="68" xfId="2" applyNumberFormat="1" applyFont="1" applyFill="1" applyBorder="1"/>
    <xf numFmtId="1" fontId="4" fillId="5" borderId="68" xfId="2" applyNumberFormat="1" applyFont="1" applyFill="1" applyBorder="1" applyAlignment="1">
      <alignment horizontal="right"/>
    </xf>
    <xf numFmtId="1" fontId="4" fillId="5" borderId="70" xfId="2" applyNumberFormat="1" applyFont="1" applyFill="1" applyBorder="1" applyAlignment="1">
      <alignment horizontal="right"/>
    </xf>
    <xf numFmtId="1" fontId="4" fillId="5" borderId="20" xfId="2" applyNumberFormat="1" applyFont="1" applyFill="1" applyBorder="1" applyAlignment="1">
      <alignment horizontal="right"/>
    </xf>
    <xf numFmtId="1" fontId="4" fillId="5" borderId="22" xfId="2" applyNumberFormat="1" applyFont="1" applyFill="1" applyBorder="1" applyAlignment="1">
      <alignment horizontal="right"/>
    </xf>
    <xf numFmtId="1" fontId="4" fillId="12" borderId="20" xfId="2" applyNumberFormat="1" applyFont="1" applyFill="1" applyBorder="1" applyAlignment="1" applyProtection="1">
      <alignment horizontal="right"/>
      <protection locked="0"/>
    </xf>
    <xf numFmtId="1" fontId="4" fillId="12" borderId="22" xfId="2" applyNumberFormat="1" applyFont="1" applyFill="1" applyBorder="1" applyAlignment="1" applyProtection="1">
      <alignment horizontal="right"/>
      <protection locked="0"/>
    </xf>
    <xf numFmtId="1" fontId="4" fillId="12" borderId="99" xfId="2" applyNumberFormat="1" applyFont="1" applyFill="1" applyBorder="1" applyAlignment="1" applyProtection="1">
      <alignment horizontal="right"/>
      <protection locked="0"/>
    </xf>
    <xf numFmtId="1" fontId="4" fillId="12" borderId="41" xfId="2" applyNumberFormat="1" applyFont="1" applyFill="1" applyBorder="1" applyAlignment="1" applyProtection="1">
      <alignment horizontal="right"/>
      <protection locked="0"/>
    </xf>
    <xf numFmtId="1" fontId="4" fillId="12" borderId="43" xfId="2" applyNumberFormat="1" applyFont="1" applyFill="1" applyBorder="1" applyAlignment="1" applyProtection="1">
      <alignment horizontal="right"/>
      <protection locked="0"/>
    </xf>
    <xf numFmtId="1" fontId="4" fillId="12" borderId="148" xfId="2" applyNumberFormat="1" applyFont="1" applyFill="1" applyBorder="1" applyAlignment="1" applyProtection="1">
      <alignment horizontal="right"/>
      <protection locked="0"/>
    </xf>
    <xf numFmtId="1" fontId="4" fillId="5" borderId="164" xfId="2" applyNumberFormat="1" applyFont="1" applyFill="1" applyBorder="1" applyAlignment="1">
      <alignment horizontal="right"/>
    </xf>
    <xf numFmtId="1" fontId="4" fillId="12" borderId="115" xfId="2" applyNumberFormat="1" applyFont="1" applyFill="1" applyBorder="1" applyAlignment="1" applyProtection="1">
      <alignment horizontal="right"/>
      <protection locked="0"/>
    </xf>
    <xf numFmtId="3" fontId="19" fillId="3" borderId="48" xfId="2" applyNumberFormat="1" applyFont="1" applyFill="1" applyBorder="1"/>
    <xf numFmtId="1" fontId="4" fillId="5" borderId="161" xfId="2" applyNumberFormat="1" applyFont="1" applyFill="1" applyBorder="1" applyAlignment="1">
      <alignment horizontal="right"/>
    </xf>
    <xf numFmtId="1" fontId="19" fillId="3" borderId="48" xfId="2" applyNumberFormat="1" applyFont="1" applyFill="1" applyBorder="1"/>
    <xf numFmtId="1" fontId="4" fillId="5" borderId="150" xfId="2" applyNumberFormat="1" applyFont="1" applyFill="1" applyBorder="1" applyAlignment="1">
      <alignment horizontal="right"/>
    </xf>
    <xf numFmtId="1" fontId="4" fillId="0" borderId="44" xfId="2" applyNumberFormat="1" applyFont="1" applyBorder="1" applyAlignment="1">
      <alignment horizontal="right"/>
    </xf>
    <xf numFmtId="1" fontId="19" fillId="3" borderId="41" xfId="2" applyNumberFormat="1" applyFont="1" applyFill="1" applyBorder="1" applyAlignment="1">
      <alignment horizontal="right"/>
    </xf>
    <xf numFmtId="1" fontId="4" fillId="12" borderId="149" xfId="2" applyNumberFormat="1" applyFont="1" applyFill="1" applyBorder="1" applyAlignment="1" applyProtection="1">
      <alignment horizontal="right"/>
      <protection locked="0"/>
    </xf>
    <xf numFmtId="1" fontId="4" fillId="5" borderId="163" xfId="2" applyNumberFormat="1" applyFont="1" applyFill="1" applyBorder="1" applyAlignment="1">
      <alignment horizontal="right"/>
    </xf>
    <xf numFmtId="1" fontId="4" fillId="0" borderId="42" xfId="2" applyNumberFormat="1" applyFont="1" applyBorder="1" applyAlignment="1">
      <alignment vertical="center" wrapText="1"/>
    </xf>
    <xf numFmtId="1" fontId="4" fillId="0" borderId="49" xfId="2" applyNumberFormat="1" applyFont="1" applyBorder="1" applyAlignment="1">
      <alignment vertical="center" wrapText="1"/>
    </xf>
    <xf numFmtId="1" fontId="4" fillId="0" borderId="166" xfId="2" applyNumberFormat="1" applyFont="1" applyBorder="1" applyAlignment="1">
      <alignment vertical="center" wrapText="1"/>
    </xf>
    <xf numFmtId="1" fontId="4" fillId="0" borderId="167" xfId="2" applyNumberFormat="1" applyFont="1" applyBorder="1" applyAlignment="1">
      <alignment horizontal="right"/>
    </xf>
    <xf numFmtId="1" fontId="4" fillId="0" borderId="165" xfId="2" applyNumberFormat="1" applyFont="1" applyBorder="1" applyAlignment="1">
      <alignment horizontal="right"/>
    </xf>
    <xf numFmtId="1" fontId="4" fillId="5" borderId="168" xfId="2" applyNumberFormat="1" applyFont="1" applyFill="1" applyBorder="1" applyAlignment="1">
      <alignment horizontal="right"/>
    </xf>
    <xf numFmtId="1" fontId="4" fillId="0" borderId="171" xfId="2" applyNumberFormat="1" applyFont="1" applyBorder="1" applyAlignment="1">
      <alignment horizontal="right"/>
    </xf>
    <xf numFmtId="1" fontId="4" fillId="0" borderId="172" xfId="2" applyNumberFormat="1" applyFont="1" applyBorder="1" applyAlignment="1">
      <alignment horizontal="right"/>
    </xf>
    <xf numFmtId="1" fontId="4" fillId="12" borderId="173" xfId="2" applyNumberFormat="1" applyFont="1" applyFill="1" applyBorder="1" applyAlignment="1" applyProtection="1">
      <alignment horizontal="right"/>
      <protection locked="0"/>
    </xf>
    <xf numFmtId="1" fontId="4" fillId="12" borderId="172" xfId="2" applyNumberFormat="1" applyFont="1" applyFill="1" applyBorder="1" applyAlignment="1" applyProtection="1">
      <alignment horizontal="right"/>
      <protection locked="0"/>
    </xf>
    <xf numFmtId="1" fontId="4" fillId="12" borderId="174" xfId="2" applyNumberFormat="1" applyFont="1" applyFill="1" applyBorder="1" applyAlignment="1" applyProtection="1">
      <alignment horizontal="right"/>
      <protection locked="0"/>
    </xf>
    <xf numFmtId="1" fontId="4" fillId="5" borderId="175" xfId="2" applyNumberFormat="1" applyFont="1" applyFill="1" applyBorder="1" applyAlignment="1">
      <alignment horizontal="right"/>
    </xf>
    <xf numFmtId="1" fontId="4" fillId="12" borderId="176" xfId="2" applyNumberFormat="1" applyFont="1" applyFill="1" applyBorder="1" applyAlignment="1" applyProtection="1">
      <alignment horizontal="right"/>
      <protection locked="0"/>
    </xf>
    <xf numFmtId="1" fontId="4" fillId="0" borderId="33" xfId="2" applyNumberFormat="1" applyFont="1" applyBorder="1" applyAlignment="1">
      <alignment horizontal="right"/>
    </xf>
    <xf numFmtId="1" fontId="4" fillId="0" borderId="22" xfId="2" applyNumberFormat="1" applyFont="1" applyBorder="1" applyAlignment="1">
      <alignment horizontal="right"/>
    </xf>
    <xf numFmtId="1" fontId="4" fillId="5" borderId="159" xfId="2" applyNumberFormat="1" applyFont="1" applyFill="1" applyBorder="1" applyAlignment="1">
      <alignment horizontal="right"/>
    </xf>
    <xf numFmtId="1" fontId="4" fillId="12" borderId="104" xfId="2" applyNumberFormat="1" applyFont="1" applyFill="1" applyBorder="1" applyAlignment="1" applyProtection="1">
      <alignment horizontal="right"/>
      <protection locked="0"/>
    </xf>
    <xf numFmtId="1" fontId="4" fillId="0" borderId="25" xfId="2" applyNumberFormat="1" applyFont="1" applyBorder="1" applyAlignment="1">
      <alignment horizontal="right"/>
    </xf>
    <xf numFmtId="1" fontId="4" fillId="0" borderId="30" xfId="2" applyNumberFormat="1" applyFont="1" applyBorder="1" applyAlignment="1">
      <alignment horizontal="right"/>
    </xf>
    <xf numFmtId="1" fontId="4" fillId="12" borderId="30" xfId="2" applyNumberFormat="1" applyFont="1" applyFill="1" applyBorder="1" applyAlignment="1" applyProtection="1">
      <alignment horizontal="right"/>
      <protection locked="0"/>
    </xf>
    <xf numFmtId="1" fontId="4" fillId="12" borderId="26" xfId="2" applyNumberFormat="1" applyFont="1" applyFill="1" applyBorder="1" applyAlignment="1" applyProtection="1">
      <alignment horizontal="right"/>
      <protection locked="0"/>
    </xf>
    <xf numFmtId="1" fontId="4" fillId="12" borderId="28" xfId="2" applyNumberFormat="1" applyFont="1" applyFill="1" applyBorder="1" applyAlignment="1" applyProtection="1">
      <alignment horizontal="right"/>
      <protection locked="0"/>
    </xf>
    <xf numFmtId="1" fontId="4" fillId="5" borderId="28" xfId="2" applyNumberFormat="1" applyFont="1" applyFill="1" applyBorder="1" applyAlignment="1">
      <alignment horizontal="right"/>
    </xf>
    <xf numFmtId="1" fontId="4" fillId="0" borderId="49" xfId="2" applyNumberFormat="1" applyFont="1" applyBorder="1" applyAlignment="1">
      <alignment horizontal="right"/>
    </xf>
    <xf numFmtId="1" fontId="4" fillId="12" borderId="42" xfId="2" applyNumberFormat="1" applyFont="1" applyFill="1" applyBorder="1" applyAlignment="1" applyProtection="1">
      <alignment horizontal="right"/>
      <protection locked="0"/>
    </xf>
    <xf numFmtId="1" fontId="4" fillId="12" borderId="37" xfId="2" applyNumberFormat="1" applyFont="1" applyFill="1" applyBorder="1" applyAlignment="1" applyProtection="1">
      <alignment horizontal="right"/>
      <protection locked="0"/>
    </xf>
    <xf numFmtId="1" fontId="4" fillId="12" borderId="39" xfId="2" applyNumberFormat="1" applyFont="1" applyFill="1" applyBorder="1" applyAlignment="1" applyProtection="1">
      <alignment horizontal="right"/>
      <protection locked="0"/>
    </xf>
    <xf numFmtId="1" fontId="4" fillId="5" borderId="39" xfId="2" applyNumberFormat="1" applyFont="1" applyFill="1" applyBorder="1" applyAlignment="1">
      <alignment horizontal="right"/>
    </xf>
    <xf numFmtId="1" fontId="4" fillId="0" borderId="32" xfId="2" applyNumberFormat="1" applyFont="1" applyBorder="1" applyAlignment="1">
      <alignment horizontal="right"/>
    </xf>
    <xf numFmtId="1" fontId="4" fillId="0" borderId="13" xfId="2" applyNumberFormat="1" applyFont="1" applyBorder="1" applyAlignment="1">
      <alignment horizontal="right"/>
    </xf>
    <xf numFmtId="1" fontId="4" fillId="12" borderId="13" xfId="2" applyNumberFormat="1" applyFont="1" applyFill="1" applyBorder="1" applyAlignment="1" applyProtection="1">
      <alignment horizontal="right"/>
      <protection locked="0"/>
    </xf>
    <xf numFmtId="1" fontId="4" fillId="12" borderId="33" xfId="2" applyNumberFormat="1" applyFont="1" applyFill="1" applyBorder="1" applyAlignment="1" applyProtection="1">
      <alignment horizontal="right"/>
      <protection locked="0"/>
    </xf>
    <xf numFmtId="1" fontId="4" fillId="12" borderId="35" xfId="2" applyNumberFormat="1" applyFont="1" applyFill="1" applyBorder="1" applyAlignment="1" applyProtection="1">
      <alignment horizontal="right"/>
      <protection locked="0"/>
    </xf>
    <xf numFmtId="1" fontId="4" fillId="5" borderId="35" xfId="2" applyNumberFormat="1" applyFont="1" applyFill="1" applyBorder="1" applyAlignment="1">
      <alignment horizontal="right"/>
    </xf>
    <xf numFmtId="1" fontId="4" fillId="0" borderId="0" xfId="2" applyNumberFormat="1" applyFont="1" applyAlignment="1" applyProtection="1">
      <alignment vertical="center"/>
      <protection hidden="1"/>
    </xf>
    <xf numFmtId="1" fontId="2" fillId="0" borderId="0" xfId="2" applyNumberFormat="1" applyFont="1" applyAlignment="1" applyProtection="1">
      <alignment vertical="center" wrapText="1"/>
      <protection hidden="1"/>
    </xf>
    <xf numFmtId="1" fontId="4" fillId="0" borderId="0" xfId="2" applyNumberFormat="1" applyFont="1" applyProtection="1">
      <protection hidden="1"/>
    </xf>
    <xf numFmtId="1" fontId="4" fillId="3" borderId="100" xfId="0" applyNumberFormat="1" applyFont="1" applyFill="1" applyBorder="1" applyAlignment="1">
      <alignment horizontal="center" vertical="center" wrapText="1"/>
    </xf>
    <xf numFmtId="1" fontId="4" fillId="3" borderId="15" xfId="0" applyNumberFormat="1" applyFont="1" applyFill="1" applyBorder="1" applyAlignment="1">
      <alignment horizontal="center" vertical="center" wrapText="1"/>
    </xf>
    <xf numFmtId="1" fontId="4" fillId="3" borderId="34" xfId="0" applyNumberFormat="1" applyFont="1" applyFill="1" applyBorder="1" applyAlignment="1">
      <alignment horizontal="center" vertical="center" wrapText="1"/>
    </xf>
    <xf numFmtId="1" fontId="4" fillId="0" borderId="121" xfId="3" applyNumberFormat="1" applyFont="1" applyBorder="1" applyProtection="1">
      <protection hidden="1"/>
    </xf>
    <xf numFmtId="1" fontId="4" fillId="3" borderId="179" xfId="7" applyNumberFormat="1" applyFont="1" applyFill="1" applyBorder="1" applyAlignment="1" applyProtection="1">
      <alignment horizontal="right"/>
    </xf>
    <xf numFmtId="1" fontId="4" fillId="4" borderId="122" xfId="7" applyNumberFormat="1" applyFont="1" applyFill="1" applyBorder="1" applyAlignment="1">
      <alignment horizontal="right"/>
      <protection locked="0"/>
    </xf>
    <xf numFmtId="1" fontId="4" fillId="4" borderId="94" xfId="7" applyNumberFormat="1" applyFont="1" applyFill="1" applyBorder="1" applyAlignment="1">
      <alignment horizontal="right"/>
      <protection locked="0"/>
    </xf>
    <xf numFmtId="1" fontId="4" fillId="4" borderId="180" xfId="7" applyNumberFormat="1" applyFont="1" applyFill="1" applyBorder="1" applyAlignment="1">
      <alignment horizontal="right"/>
      <protection locked="0"/>
    </xf>
    <xf numFmtId="1" fontId="4" fillId="4" borderId="15" xfId="7" applyNumberFormat="1" applyFont="1" applyFill="1" applyBorder="1" applyAlignment="1">
      <alignment horizontal="right"/>
      <protection locked="0"/>
    </xf>
    <xf numFmtId="1" fontId="4" fillId="4" borderId="90" xfId="7" applyNumberFormat="1" applyFont="1" applyFill="1" applyBorder="1" applyAlignment="1">
      <alignment horizontal="right"/>
      <protection locked="0"/>
    </xf>
    <xf numFmtId="1" fontId="4" fillId="0" borderId="179" xfId="3" applyNumberFormat="1" applyFont="1" applyBorder="1" applyAlignment="1" applyProtection="1">
      <alignment horizontal="center" vertical="center" wrapText="1"/>
      <protection hidden="1"/>
    </xf>
    <xf numFmtId="1" fontId="4" fillId="0" borderId="188" xfId="2" applyNumberFormat="1" applyFont="1" applyBorder="1" applyAlignment="1">
      <alignment horizontal="center" vertical="center"/>
    </xf>
    <xf numFmtId="1" fontId="4" fillId="0" borderId="189" xfId="2" applyNumberFormat="1" applyFont="1" applyBorder="1" applyAlignment="1">
      <alignment horizontal="center" vertical="center"/>
    </xf>
    <xf numFmtId="1" fontId="4" fillId="0" borderId="190" xfId="2" applyNumberFormat="1" applyFont="1" applyBorder="1" applyAlignment="1">
      <alignment horizontal="center" vertical="center"/>
    </xf>
    <xf numFmtId="1" fontId="4" fillId="0" borderId="190" xfId="2" applyNumberFormat="1" applyFont="1" applyBorder="1" applyAlignment="1" applyProtection="1">
      <alignment horizontal="center" vertical="center"/>
      <protection hidden="1"/>
    </xf>
    <xf numFmtId="1" fontId="4" fillId="0" borderId="189" xfId="2" applyNumberFormat="1" applyFont="1" applyBorder="1" applyAlignment="1" applyProtection="1">
      <alignment horizontal="center" vertical="center"/>
      <protection hidden="1"/>
    </xf>
    <xf numFmtId="1" fontId="4" fillId="0" borderId="25" xfId="1" applyNumberFormat="1" applyFont="1" applyBorder="1" applyAlignment="1">
      <alignment horizontal="left" vertical="center" wrapText="1"/>
    </xf>
    <xf numFmtId="1" fontId="4" fillId="4" borderId="23" xfId="2" applyNumberFormat="1" applyFont="1" applyFill="1" applyBorder="1" applyAlignment="1" applyProtection="1">
      <alignment horizontal="right"/>
      <protection locked="0"/>
    </xf>
    <xf numFmtId="1" fontId="4" fillId="4" borderId="24" xfId="2" applyNumberFormat="1" applyFont="1" applyFill="1" applyBorder="1" applyAlignment="1" applyProtection="1">
      <alignment horizontal="right"/>
      <protection locked="0"/>
    </xf>
    <xf numFmtId="1" fontId="4" fillId="4" borderId="26" xfId="2" applyNumberFormat="1" applyFont="1" applyFill="1" applyBorder="1" applyAlignment="1" applyProtection="1">
      <alignment horizontal="right"/>
      <protection locked="0"/>
    </xf>
    <xf numFmtId="1" fontId="4" fillId="4" borderId="96" xfId="2" applyNumberFormat="1" applyFont="1" applyFill="1" applyBorder="1" applyAlignment="1" applyProtection="1">
      <alignment horizontal="right"/>
      <protection locked="0"/>
    </xf>
    <xf numFmtId="1" fontId="4" fillId="0" borderId="44" xfId="1" applyNumberFormat="1" applyFont="1" applyBorder="1" applyAlignment="1">
      <alignment horizontal="left" vertical="center" wrapText="1"/>
    </xf>
    <xf numFmtId="1" fontId="4" fillId="4" borderId="48" xfId="2" applyNumberFormat="1" applyFont="1" applyFill="1" applyBorder="1" applyAlignment="1" applyProtection="1">
      <alignment horizontal="right"/>
      <protection locked="0"/>
    </xf>
    <xf numFmtId="1" fontId="4" fillId="4" borderId="50" xfId="2" applyNumberFormat="1" applyFont="1" applyFill="1" applyBorder="1" applyAlignment="1" applyProtection="1">
      <alignment horizontal="right"/>
      <protection locked="0"/>
    </xf>
    <xf numFmtId="1" fontId="4" fillId="4" borderId="45" xfId="2" applyNumberFormat="1" applyFont="1" applyFill="1" applyBorder="1" applyAlignment="1" applyProtection="1">
      <alignment horizontal="right"/>
      <protection locked="0"/>
    </xf>
    <xf numFmtId="1" fontId="4" fillId="4" borderId="150" xfId="2" applyNumberFormat="1" applyFont="1" applyFill="1" applyBorder="1" applyAlignment="1" applyProtection="1">
      <alignment horizontal="right"/>
      <protection locked="0"/>
    </xf>
    <xf numFmtId="1" fontId="4" fillId="0" borderId="32" xfId="1" applyNumberFormat="1" applyFont="1" applyBorder="1" applyAlignment="1">
      <alignment horizontal="left" vertical="center" wrapText="1"/>
    </xf>
    <xf numFmtId="1" fontId="4" fillId="4" borderId="33" xfId="2" applyNumberFormat="1" applyFont="1" applyFill="1" applyBorder="1" applyAlignment="1" applyProtection="1">
      <alignment horizontal="right"/>
      <protection locked="0"/>
    </xf>
    <xf numFmtId="1" fontId="4" fillId="4" borderId="22" xfId="2" applyNumberFormat="1" applyFont="1" applyFill="1" applyBorder="1" applyAlignment="1" applyProtection="1">
      <alignment horizontal="right"/>
      <protection locked="0"/>
    </xf>
    <xf numFmtId="1" fontId="4" fillId="4" borderId="20" xfId="2" applyNumberFormat="1" applyFont="1" applyFill="1" applyBorder="1" applyAlignment="1" applyProtection="1">
      <alignment horizontal="right"/>
      <protection locked="0"/>
    </xf>
    <xf numFmtId="1" fontId="4" fillId="4" borderId="99" xfId="2" applyNumberFormat="1" applyFont="1" applyFill="1" applyBorder="1" applyAlignment="1" applyProtection="1">
      <alignment horizontal="right"/>
      <protection locked="0"/>
    </xf>
    <xf numFmtId="1" fontId="4" fillId="0" borderId="192" xfId="3" applyNumberFormat="1" applyFont="1" applyBorder="1" applyAlignment="1" applyProtection="1">
      <alignment horizontal="center" vertical="center" wrapText="1"/>
      <protection hidden="1"/>
    </xf>
    <xf numFmtId="1" fontId="4" fillId="0" borderId="122" xfId="2" applyNumberFormat="1" applyFont="1" applyBorder="1" applyAlignment="1">
      <alignment horizontal="center" vertical="center"/>
    </xf>
    <xf numFmtId="1" fontId="4" fillId="0" borderId="90" xfId="2" applyNumberFormat="1" applyFont="1" applyBorder="1" applyAlignment="1">
      <alignment horizontal="center" vertical="center"/>
    </xf>
    <xf numFmtId="1" fontId="4" fillId="0" borderId="122" xfId="2" applyNumberFormat="1" applyFont="1" applyBorder="1" applyAlignment="1" applyProtection="1">
      <alignment horizontal="center" vertical="center"/>
      <protection hidden="1"/>
    </xf>
    <xf numFmtId="1" fontId="4" fillId="0" borderId="90" xfId="2" applyNumberFormat="1" applyFont="1" applyBorder="1" applyAlignment="1" applyProtection="1">
      <alignment horizontal="center" vertical="center"/>
      <protection hidden="1"/>
    </xf>
    <xf numFmtId="1" fontId="4" fillId="0" borderId="138" xfId="1" applyNumberFormat="1" applyFont="1" applyBorder="1" applyAlignment="1">
      <alignment horizontal="left" vertical="center"/>
    </xf>
    <xf numFmtId="1" fontId="4" fillId="0" borderId="27" xfId="2" applyNumberFormat="1" applyFont="1" applyBorder="1" applyAlignment="1">
      <alignment horizontal="right"/>
    </xf>
    <xf numFmtId="1" fontId="4" fillId="0" borderId="146" xfId="1" applyNumberFormat="1" applyFont="1" applyBorder="1" applyAlignment="1">
      <alignment horizontal="left" vertical="center"/>
    </xf>
    <xf numFmtId="1" fontId="4" fillId="0" borderId="65" xfId="2" applyNumberFormat="1" applyFont="1" applyBorder="1" applyAlignment="1">
      <alignment horizontal="right"/>
    </xf>
    <xf numFmtId="1" fontId="4" fillId="0" borderId="25" xfId="3" applyNumberFormat="1" applyFont="1" applyBorder="1" applyAlignment="1">
      <alignment horizontal="left" vertical="center"/>
    </xf>
    <xf numFmtId="1" fontId="4" fillId="0" borderId="36" xfId="2" applyNumberFormat="1" applyFont="1" applyBorder="1" applyAlignment="1">
      <alignment horizontal="right"/>
    </xf>
    <xf numFmtId="1" fontId="4" fillId="5" borderId="30" xfId="2" applyNumberFormat="1" applyFont="1" applyFill="1" applyBorder="1" applyAlignment="1">
      <alignment horizontal="right"/>
    </xf>
    <xf numFmtId="1" fontId="4" fillId="0" borderId="71" xfId="2" applyNumberFormat="1" applyFont="1" applyBorder="1" applyAlignment="1">
      <alignment horizontal="right"/>
    </xf>
    <xf numFmtId="1" fontId="4" fillId="0" borderId="16" xfId="2" applyNumberFormat="1" applyFont="1" applyBorder="1" applyAlignment="1">
      <alignment horizontal="right"/>
    </xf>
    <xf numFmtId="1" fontId="4" fillId="0" borderId="63" xfId="2" applyNumberFormat="1" applyFont="1" applyBorder="1" applyAlignment="1">
      <alignment horizontal="right"/>
    </xf>
    <xf numFmtId="1" fontId="4" fillId="5" borderId="49" xfId="2" applyNumberFormat="1" applyFont="1" applyFill="1" applyBorder="1" applyAlignment="1">
      <alignment horizontal="right"/>
    </xf>
    <xf numFmtId="1" fontId="4" fillId="0" borderId="32" xfId="1" applyNumberFormat="1" applyFont="1" applyBorder="1" applyAlignment="1">
      <alignment horizontal="left" vertical="center"/>
    </xf>
    <xf numFmtId="1" fontId="4" fillId="5" borderId="69" xfId="2" applyNumberFormat="1" applyFont="1" applyFill="1" applyBorder="1" applyAlignment="1">
      <alignment horizontal="right"/>
    </xf>
    <xf numFmtId="1" fontId="4" fillId="12" borderId="69" xfId="2" applyNumberFormat="1" applyFont="1" applyFill="1" applyBorder="1" applyAlignment="1" applyProtection="1">
      <alignment horizontal="right"/>
      <protection locked="0"/>
    </xf>
    <xf numFmtId="1" fontId="4" fillId="12" borderId="59" xfId="2" applyNumberFormat="1" applyFont="1" applyFill="1" applyBorder="1" applyAlignment="1" applyProtection="1">
      <alignment horizontal="right"/>
      <protection locked="0"/>
    </xf>
    <xf numFmtId="1" fontId="4" fillId="12" borderId="66" xfId="2" applyNumberFormat="1" applyFont="1" applyFill="1" applyBorder="1" applyAlignment="1" applyProtection="1">
      <alignment horizontal="right"/>
      <protection locked="0"/>
    </xf>
    <xf numFmtId="1" fontId="5" fillId="3" borderId="0" xfId="0" applyNumberFormat="1" applyFont="1" applyFill="1" applyAlignment="1">
      <alignment horizontal="left"/>
    </xf>
    <xf numFmtId="1" fontId="20" fillId="3" borderId="0" xfId="0" applyNumberFormat="1" applyFont="1" applyFill="1" applyAlignment="1">
      <alignment horizontal="left"/>
    </xf>
    <xf numFmtId="1" fontId="4" fillId="2" borderId="179" xfId="0" applyNumberFormat="1" applyFont="1" applyFill="1" applyBorder="1" applyAlignment="1">
      <alignment horizontal="center" vertical="center"/>
    </xf>
    <xf numFmtId="1" fontId="4" fillId="2" borderId="180" xfId="0" applyNumberFormat="1" applyFont="1" applyFill="1" applyBorder="1" applyAlignment="1">
      <alignment horizontal="center" vertical="center"/>
    </xf>
    <xf numFmtId="1" fontId="4" fillId="2" borderId="90" xfId="0" applyNumberFormat="1" applyFont="1" applyFill="1" applyBorder="1" applyAlignment="1">
      <alignment horizontal="center" vertical="center"/>
    </xf>
    <xf numFmtId="1" fontId="4" fillId="0" borderId="180" xfId="0" applyNumberFormat="1" applyFont="1" applyBorder="1" applyAlignment="1">
      <alignment horizontal="center" vertical="center"/>
    </xf>
    <xf numFmtId="1" fontId="4" fillId="0" borderId="187" xfId="0" applyNumberFormat="1" applyFont="1" applyBorder="1" applyAlignment="1">
      <alignment horizontal="center" vertical="center"/>
    </xf>
    <xf numFmtId="0" fontId="4" fillId="0" borderId="25" xfId="0" applyFont="1" applyBorder="1" applyAlignment="1">
      <alignment horizontal="left" vertical="center" wrapText="1"/>
    </xf>
    <xf numFmtId="1" fontId="4" fillId="2" borderId="25" xfId="0" applyNumberFormat="1" applyFont="1" applyFill="1" applyBorder="1" applyAlignment="1">
      <alignment horizontal="center" vertical="center" wrapText="1"/>
    </xf>
    <xf numFmtId="1" fontId="4" fillId="3" borderId="26"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 fontId="4" fillId="5" borderId="23" xfId="0" applyNumberFormat="1" applyFont="1" applyFill="1" applyBorder="1" applyAlignment="1">
      <alignment horizontal="right"/>
    </xf>
    <xf numFmtId="1" fontId="4" fillId="5" borderId="43" xfId="0" applyNumberFormat="1" applyFont="1" applyFill="1" applyBorder="1" applyAlignment="1">
      <alignment horizontal="right"/>
    </xf>
    <xf numFmtId="1" fontId="4" fillId="2" borderId="44" xfId="0" applyNumberFormat="1" applyFont="1" applyFill="1" applyBorder="1" applyAlignment="1">
      <alignment horizontal="left" vertical="center" wrapText="1"/>
    </xf>
    <xf numFmtId="1" fontId="4" fillId="2" borderId="44" xfId="0" applyNumberFormat="1" applyFont="1" applyFill="1" applyBorder="1" applyAlignment="1">
      <alignment horizontal="center" vertical="center" wrapText="1"/>
    </xf>
    <xf numFmtId="1" fontId="4" fillId="3" borderId="45" xfId="0" applyNumberFormat="1" applyFont="1" applyFill="1" applyBorder="1" applyAlignment="1">
      <alignment horizontal="center" vertical="center"/>
    </xf>
    <xf numFmtId="1" fontId="4" fillId="3" borderId="49" xfId="0" applyNumberFormat="1" applyFont="1" applyFill="1" applyBorder="1" applyAlignment="1">
      <alignment horizontal="center" vertical="center"/>
    </xf>
    <xf numFmtId="1" fontId="4" fillId="5" borderId="48" xfId="0" applyNumberFormat="1" applyFont="1" applyFill="1" applyBorder="1" applyAlignment="1">
      <alignment horizontal="right"/>
    </xf>
    <xf numFmtId="1" fontId="4" fillId="5" borderId="50" xfId="0" applyNumberFormat="1" applyFont="1" applyFill="1" applyBorder="1" applyAlignment="1">
      <alignment horizontal="right"/>
    </xf>
    <xf numFmtId="1" fontId="4" fillId="2" borderId="32" xfId="0" applyNumberFormat="1" applyFont="1" applyFill="1" applyBorder="1" applyAlignment="1">
      <alignment horizontal="left" vertical="center" wrapText="1"/>
    </xf>
    <xf numFmtId="1" fontId="4" fillId="2" borderId="32" xfId="0" applyNumberFormat="1" applyFont="1" applyFill="1" applyBorder="1" applyAlignment="1">
      <alignment horizontal="center" vertical="center" wrapText="1"/>
    </xf>
    <xf numFmtId="1" fontId="4" fillId="3" borderId="33" xfId="0" applyNumberFormat="1" applyFont="1" applyFill="1" applyBorder="1" applyAlignment="1">
      <alignment horizontal="center" vertical="center"/>
    </xf>
    <xf numFmtId="1" fontId="4" fillId="3" borderId="13" xfId="0" applyNumberFormat="1" applyFont="1" applyFill="1" applyBorder="1" applyAlignment="1">
      <alignment horizontal="center" vertical="center"/>
    </xf>
    <xf numFmtId="1" fontId="4" fillId="5" borderId="22" xfId="0" applyNumberFormat="1" applyFont="1" applyFill="1" applyBorder="1" applyAlignment="1">
      <alignment horizontal="right"/>
    </xf>
    <xf numFmtId="1" fontId="4" fillId="2" borderId="36" xfId="0" applyNumberFormat="1" applyFont="1" applyFill="1" applyBorder="1" applyAlignment="1">
      <alignment horizontal="center" vertical="center" wrapText="1"/>
    </xf>
    <xf numFmtId="1" fontId="4" fillId="3" borderId="37" xfId="0" applyNumberFormat="1" applyFont="1" applyFill="1" applyBorder="1" applyAlignment="1">
      <alignment horizontal="center" vertical="center"/>
    </xf>
    <xf numFmtId="1" fontId="4" fillId="3" borderId="42" xfId="0" applyNumberFormat="1" applyFont="1" applyFill="1" applyBorder="1" applyAlignment="1">
      <alignment horizontal="center" vertical="center"/>
    </xf>
    <xf numFmtId="1" fontId="4" fillId="0" borderId="170" xfId="2" applyNumberFormat="1" applyFont="1" applyBorder="1" applyAlignment="1">
      <alignment vertical="center"/>
    </xf>
    <xf numFmtId="1" fontId="4" fillId="0" borderId="42" xfId="2" applyNumberFormat="1" applyFont="1" applyBorder="1" applyAlignment="1">
      <alignment vertical="center"/>
    </xf>
    <xf numFmtId="1" fontId="4" fillId="0" borderId="49" xfId="2" applyNumberFormat="1" applyFont="1" applyBorder="1" applyAlignment="1">
      <alignment vertical="center"/>
    </xf>
    <xf numFmtId="1" fontId="4" fillId="0" borderId="3" xfId="2" applyNumberFormat="1" applyFont="1" applyBorder="1" applyAlignment="1">
      <alignment vertical="center"/>
    </xf>
    <xf numFmtId="1" fontId="4" fillId="3" borderId="25" xfId="2" applyNumberFormat="1" applyFont="1" applyFill="1" applyBorder="1" applyAlignment="1">
      <alignment vertical="center"/>
    </xf>
    <xf numFmtId="1" fontId="4" fillId="3" borderId="44" xfId="2" applyNumberFormat="1" applyFont="1" applyFill="1" applyBorder="1" applyAlignment="1">
      <alignment vertical="center"/>
    </xf>
    <xf numFmtId="1" fontId="4" fillId="3" borderId="13" xfId="2" applyNumberFormat="1" applyFont="1" applyFill="1" applyBorder="1" applyAlignment="1">
      <alignment vertical="center"/>
    </xf>
    <xf numFmtId="1" fontId="4" fillId="3" borderId="22" xfId="0" applyNumberFormat="1" applyFont="1" applyFill="1" applyBorder="1" applyAlignment="1">
      <alignment horizontal="center" vertical="center" wrapText="1"/>
    </xf>
    <xf numFmtId="1" fontId="4" fillId="3" borderId="180" xfId="6" applyNumberFormat="1" applyFont="1" applyFill="1" applyBorder="1" applyAlignment="1">
      <alignment horizontal="center" vertical="center" wrapText="1"/>
    </xf>
    <xf numFmtId="1" fontId="4" fillId="3" borderId="90" xfId="6" applyNumberFormat="1" applyFont="1" applyFill="1" applyBorder="1" applyAlignment="1">
      <alignment horizontal="center" vertical="center" wrapText="1"/>
    </xf>
    <xf numFmtId="1" fontId="2" fillId="0" borderId="0" xfId="8" applyNumberFormat="1" applyFont="1" applyAlignment="1">
      <alignment horizontal="left"/>
    </xf>
    <xf numFmtId="1" fontId="4" fillId="0" borderId="126" xfId="0" applyNumberFormat="1" applyFont="1" applyBorder="1" applyAlignment="1">
      <alignment vertical="center" wrapText="1"/>
    </xf>
    <xf numFmtId="1" fontId="4" fillId="0" borderId="100" xfId="2" applyNumberFormat="1" applyFont="1" applyBorder="1" applyAlignment="1" applyProtection="1">
      <alignment horizontal="center" vertical="center"/>
      <protection hidden="1"/>
    </xf>
    <xf numFmtId="1" fontId="4" fillId="0" borderId="0" xfId="2" applyNumberFormat="1" applyFont="1" applyAlignment="1" applyProtection="1">
      <alignment horizontal="center" vertical="center"/>
      <protection hidden="1"/>
    </xf>
    <xf numFmtId="1" fontId="4" fillId="0" borderId="0" xfId="0" applyNumberFormat="1" applyFont="1" applyAlignment="1">
      <alignment horizontal="center"/>
    </xf>
    <xf numFmtId="1" fontId="4" fillId="0" borderId="122" xfId="2" applyNumberFormat="1" applyFont="1" applyBorder="1" applyAlignment="1">
      <alignment horizontal="right"/>
    </xf>
    <xf numFmtId="1" fontId="4" fillId="0" borderId="100" xfId="2" applyNumberFormat="1" applyFont="1" applyBorder="1" applyAlignment="1">
      <alignment horizontal="right"/>
    </xf>
    <xf numFmtId="1" fontId="4" fillId="0" borderId="42" xfId="2" applyNumberFormat="1" applyFont="1" applyBorder="1" applyAlignment="1" applyProtection="1">
      <alignment vertical="center"/>
      <protection hidden="1"/>
    </xf>
    <xf numFmtId="1" fontId="4" fillId="0" borderId="42" xfId="2" applyNumberFormat="1" applyFont="1" applyBorder="1" applyAlignment="1">
      <alignment horizontal="right"/>
    </xf>
    <xf numFmtId="1" fontId="4" fillId="0" borderId="49" xfId="2" applyNumberFormat="1" applyFont="1" applyBorder="1" applyAlignment="1" applyProtection="1">
      <alignment vertical="center"/>
      <protection hidden="1"/>
    </xf>
    <xf numFmtId="1" fontId="4" fillId="12" borderId="49" xfId="2" applyNumberFormat="1" applyFont="1" applyFill="1" applyBorder="1" applyAlignment="1" applyProtection="1">
      <alignment horizontal="right"/>
      <protection locked="0"/>
    </xf>
    <xf numFmtId="1" fontId="4" fillId="2" borderId="65" xfId="2" applyNumberFormat="1" applyFont="1" applyFill="1" applyBorder="1" applyAlignment="1" applyProtection="1">
      <alignment vertical="center" wrapText="1"/>
      <protection hidden="1"/>
    </xf>
    <xf numFmtId="1" fontId="4" fillId="0" borderId="69" xfId="2" applyNumberFormat="1" applyFont="1" applyBorder="1" applyAlignment="1">
      <alignment horizontal="right"/>
    </xf>
    <xf numFmtId="1" fontId="4" fillId="0" borderId="71" xfId="2" applyNumberFormat="1" applyFont="1" applyBorder="1" applyAlignment="1" applyProtection="1">
      <alignment vertical="center"/>
      <protection hidden="1"/>
    </xf>
    <xf numFmtId="1" fontId="4" fillId="0" borderId="138" xfId="2" applyNumberFormat="1" applyFont="1" applyBorder="1" applyAlignment="1">
      <alignment horizontal="right"/>
    </xf>
    <xf numFmtId="1" fontId="4" fillId="0" borderId="44" xfId="2" applyNumberFormat="1" applyFont="1" applyBorder="1" applyAlignment="1" applyProtection="1">
      <alignment vertical="center"/>
      <protection hidden="1"/>
    </xf>
    <xf numFmtId="1" fontId="4" fillId="0" borderId="117" xfId="2" applyNumberFormat="1" applyFont="1" applyBorder="1" applyAlignment="1">
      <alignment horizontal="right"/>
    </xf>
    <xf numFmtId="1" fontId="4" fillId="0" borderId="195" xfId="2" applyNumberFormat="1" applyFont="1" applyBorder="1" applyAlignment="1">
      <alignment horizontal="right"/>
    </xf>
    <xf numFmtId="1" fontId="4" fillId="12" borderId="61" xfId="2" applyNumberFormat="1" applyFont="1" applyFill="1" applyBorder="1" applyAlignment="1" applyProtection="1">
      <alignment horizontal="right"/>
      <protection locked="0"/>
    </xf>
    <xf numFmtId="1" fontId="4" fillId="12" borderId="63" xfId="2" applyNumberFormat="1" applyFont="1" applyFill="1" applyBorder="1" applyAlignment="1" applyProtection="1">
      <alignment horizontal="right"/>
      <protection locked="0"/>
    </xf>
    <xf numFmtId="1" fontId="4" fillId="12" borderId="98" xfId="2" applyNumberFormat="1" applyFont="1" applyFill="1" applyBorder="1" applyAlignment="1" applyProtection="1">
      <alignment horizontal="right"/>
      <protection locked="0"/>
    </xf>
    <xf numFmtId="1" fontId="4" fillId="12" borderId="116" xfId="2" applyNumberFormat="1" applyFont="1" applyFill="1" applyBorder="1" applyAlignment="1" applyProtection="1">
      <alignment horizontal="right"/>
      <protection locked="0"/>
    </xf>
    <xf numFmtId="1" fontId="4" fillId="12" borderId="62" xfId="2" applyNumberFormat="1" applyFont="1" applyFill="1" applyBorder="1" applyAlignment="1" applyProtection="1">
      <alignment horizontal="right"/>
      <protection locked="0"/>
    </xf>
    <xf numFmtId="1" fontId="4" fillId="0" borderId="3" xfId="2" applyNumberFormat="1" applyFont="1" applyBorder="1" applyAlignment="1" applyProtection="1">
      <alignment horizontal="right" vertical="center"/>
      <protection hidden="1"/>
    </xf>
    <xf numFmtId="1" fontId="2" fillId="0" borderId="3" xfId="2" applyNumberFormat="1" applyFont="1" applyBorder="1" applyProtection="1">
      <protection hidden="1"/>
    </xf>
    <xf numFmtId="1" fontId="2" fillId="0" borderId="0" xfId="2" applyNumberFormat="1" applyFont="1" applyProtection="1">
      <protection hidden="1"/>
    </xf>
    <xf numFmtId="1" fontId="4" fillId="0" borderId="0" xfId="2" quotePrefix="1" applyNumberFormat="1" applyFont="1" applyAlignment="1" applyProtection="1">
      <alignment horizontal="center" vertical="center"/>
      <protection hidden="1"/>
    </xf>
    <xf numFmtId="1" fontId="4" fillId="0" borderId="0" xfId="2" quotePrefix="1" applyNumberFormat="1" applyFont="1" applyAlignment="1">
      <alignment horizontal="center" vertical="center"/>
    </xf>
    <xf numFmtId="1" fontId="4" fillId="0" borderId="0" xfId="6" applyNumberFormat="1" applyFont="1" applyAlignment="1">
      <alignment horizontal="center" vertical="center" wrapText="1"/>
    </xf>
    <xf numFmtId="1" fontId="4" fillId="0" borderId="129" xfId="2" applyNumberFormat="1" applyFont="1" applyBorder="1" applyAlignment="1" applyProtection="1">
      <alignment horizontal="center" vertical="center"/>
      <protection hidden="1"/>
    </xf>
    <xf numFmtId="1" fontId="4" fillId="0" borderId="25" xfId="2" applyNumberFormat="1" applyFont="1" applyBorder="1" applyAlignment="1" applyProtection="1">
      <alignment vertical="center"/>
      <protection hidden="1"/>
    </xf>
    <xf numFmtId="1" fontId="4" fillId="5" borderId="26" xfId="2" applyNumberFormat="1" applyFont="1" applyFill="1" applyBorder="1" applyAlignment="1">
      <alignment horizontal="right"/>
    </xf>
    <xf numFmtId="1" fontId="4" fillId="3" borderId="65" xfId="2" applyNumberFormat="1" applyFont="1" applyFill="1" applyBorder="1" applyAlignment="1" applyProtection="1">
      <alignment vertical="center"/>
      <protection hidden="1"/>
    </xf>
    <xf numFmtId="1" fontId="4" fillId="5" borderId="66" xfId="2" applyNumberFormat="1" applyFont="1" applyFill="1" applyBorder="1" applyAlignment="1">
      <alignment horizontal="right"/>
    </xf>
    <xf numFmtId="1" fontId="4" fillId="0" borderId="25" xfId="2" applyNumberFormat="1" applyFont="1" applyBorder="1" applyAlignment="1" applyProtection="1">
      <alignment vertical="center" wrapText="1"/>
      <protection hidden="1"/>
    </xf>
    <xf numFmtId="1" fontId="4" fillId="3" borderId="44" xfId="2" applyNumberFormat="1" applyFont="1" applyFill="1" applyBorder="1" applyAlignment="1" applyProtection="1">
      <alignment vertical="center" wrapText="1"/>
      <protection hidden="1"/>
    </xf>
    <xf numFmtId="1" fontId="4" fillId="0" borderId="0" xfId="2" applyNumberFormat="1" applyFont="1" applyAlignment="1">
      <alignment horizontal="right"/>
    </xf>
    <xf numFmtId="1" fontId="4" fillId="5" borderId="45" xfId="2" applyNumberFormat="1" applyFont="1" applyFill="1" applyBorder="1" applyAlignment="1">
      <alignment horizontal="right"/>
    </xf>
    <xf numFmtId="1" fontId="4" fillId="12" borderId="45" xfId="2" applyNumberFormat="1" applyFont="1" applyFill="1" applyBorder="1" applyAlignment="1" applyProtection="1">
      <alignment horizontal="right"/>
      <protection locked="0"/>
    </xf>
    <xf numFmtId="1" fontId="4" fillId="2" borderId="65" xfId="2" applyNumberFormat="1" applyFont="1" applyFill="1" applyBorder="1" applyAlignment="1" applyProtection="1">
      <alignment horizontal="left" vertical="center" wrapText="1"/>
      <protection hidden="1"/>
    </xf>
    <xf numFmtId="1" fontId="4" fillId="0" borderId="142" xfId="2" applyNumberFormat="1" applyFont="1" applyBorder="1" applyAlignment="1">
      <alignment horizontal="right"/>
    </xf>
    <xf numFmtId="1" fontId="4" fillId="12" borderId="141" xfId="2" applyNumberFormat="1" applyFont="1" applyFill="1" applyBorder="1" applyAlignment="1" applyProtection="1">
      <alignment horizontal="right"/>
      <protection locked="0"/>
    </xf>
    <xf numFmtId="1" fontId="4" fillId="0" borderId="3" xfId="2" applyNumberFormat="1" applyFont="1" applyBorder="1" applyAlignment="1">
      <alignment horizontal="right"/>
    </xf>
    <xf numFmtId="1" fontId="4" fillId="2" borderId="44" xfId="2" applyNumberFormat="1" applyFont="1" applyFill="1" applyBorder="1" applyAlignment="1" applyProtection="1">
      <alignment horizontal="left" vertical="center" wrapText="1"/>
      <protection hidden="1"/>
    </xf>
    <xf numFmtId="1" fontId="4" fillId="0" borderId="146" xfId="2" applyNumberFormat="1" applyFont="1" applyBorder="1" applyAlignment="1">
      <alignment horizontal="right"/>
    </xf>
    <xf numFmtId="1" fontId="4" fillId="12" borderId="145" xfId="2" applyNumberFormat="1" applyFont="1" applyFill="1" applyBorder="1" applyAlignment="1" applyProtection="1">
      <alignment horizontal="right"/>
      <protection locked="0"/>
    </xf>
    <xf numFmtId="1" fontId="4" fillId="12" borderId="16" xfId="2" applyNumberFormat="1" applyFont="1" applyFill="1" applyBorder="1" applyAlignment="1" applyProtection="1">
      <alignment horizontal="right"/>
      <protection locked="0"/>
    </xf>
    <xf numFmtId="1" fontId="4" fillId="12" borderId="152" xfId="2" applyNumberFormat="1" applyFont="1" applyFill="1" applyBorder="1" applyAlignment="1" applyProtection="1">
      <alignment horizontal="right"/>
      <protection locked="0"/>
    </xf>
    <xf numFmtId="1" fontId="4" fillId="0" borderId="32" xfId="0" applyNumberFormat="1" applyFont="1" applyBorder="1" applyAlignment="1">
      <alignment vertical="center"/>
    </xf>
    <xf numFmtId="1" fontId="23" fillId="0" borderId="0" xfId="2" applyNumberFormat="1" applyFont="1" applyAlignment="1" applyProtection="1">
      <alignment vertical="center" wrapText="1"/>
      <protection hidden="1"/>
    </xf>
    <xf numFmtId="1" fontId="4" fillId="0" borderId="0" xfId="2" applyNumberFormat="1" applyFont="1" applyAlignment="1" applyProtection="1">
      <alignment horizontal="right"/>
      <protection hidden="1"/>
    </xf>
    <xf numFmtId="1" fontId="4" fillId="0" borderId="62" xfId="2" applyNumberFormat="1" applyFont="1" applyBorder="1" applyAlignment="1">
      <alignment horizontal="right"/>
    </xf>
    <xf numFmtId="1" fontId="4" fillId="12" borderId="51" xfId="2" applyNumberFormat="1" applyFont="1" applyFill="1" applyBorder="1" applyAlignment="1" applyProtection="1">
      <alignment horizontal="right"/>
      <protection locked="0"/>
    </xf>
    <xf numFmtId="1" fontId="4" fillId="0" borderId="36" xfId="2" applyNumberFormat="1" applyFont="1" applyBorder="1" applyAlignment="1" applyProtection="1">
      <alignment horizontal="left" vertical="center" wrapText="1"/>
      <protection hidden="1"/>
    </xf>
    <xf numFmtId="1" fontId="4" fillId="0" borderId="44" xfId="2" applyNumberFormat="1" applyFont="1" applyBorder="1" applyAlignment="1" applyProtection="1">
      <alignment horizontal="left" vertical="center" wrapText="1"/>
      <protection hidden="1"/>
    </xf>
    <xf numFmtId="1" fontId="4" fillId="0" borderId="65" xfId="2" applyNumberFormat="1" applyFont="1" applyBorder="1" applyAlignment="1" applyProtection="1">
      <alignment horizontal="left" vertical="center" wrapText="1"/>
      <protection hidden="1"/>
    </xf>
    <xf numFmtId="1" fontId="4" fillId="0" borderId="13" xfId="0" applyNumberFormat="1" applyFont="1" applyBorder="1" applyAlignment="1">
      <alignment vertical="center"/>
    </xf>
    <xf numFmtId="1" fontId="4" fillId="12" borderId="47" xfId="2" applyNumberFormat="1" applyFont="1" applyFill="1" applyBorder="1" applyAlignment="1" applyProtection="1">
      <alignment horizontal="right"/>
      <protection locked="0"/>
    </xf>
    <xf numFmtId="1" fontId="2" fillId="0" borderId="126" xfId="2" applyNumberFormat="1" applyFont="1" applyBorder="1" applyAlignment="1" applyProtection="1">
      <alignment horizontal="left" vertical="center"/>
      <protection hidden="1"/>
    </xf>
    <xf numFmtId="1" fontId="4" fillId="0" borderId="0" xfId="0" applyNumberFormat="1" applyFont="1" applyAlignment="1">
      <alignment horizontal="left"/>
    </xf>
    <xf numFmtId="1" fontId="4" fillId="0" borderId="90" xfId="2" applyNumberFormat="1" applyFont="1" applyBorder="1" applyAlignment="1">
      <alignment horizontal="right"/>
    </xf>
    <xf numFmtId="1" fontId="4" fillId="0" borderId="130" xfId="2" applyNumberFormat="1" applyFont="1" applyBorder="1" applyAlignment="1">
      <alignment horizontal="right"/>
    </xf>
    <xf numFmtId="3" fontId="4" fillId="0" borderId="36" xfId="2" applyNumberFormat="1" applyFont="1" applyBorder="1"/>
    <xf numFmtId="3" fontId="4" fillId="0" borderId="44" xfId="2" applyNumberFormat="1" applyFont="1" applyBorder="1"/>
    <xf numFmtId="3" fontId="4" fillId="0" borderId="113" xfId="2" applyNumberFormat="1" applyFont="1" applyBorder="1"/>
    <xf numFmtId="3" fontId="4" fillId="0" borderId="114" xfId="2" applyNumberFormat="1" applyFont="1" applyBorder="1"/>
    <xf numFmtId="1" fontId="4" fillId="3" borderId="44" xfId="2" applyNumberFormat="1" applyFont="1" applyFill="1" applyBorder="1" applyAlignment="1" applyProtection="1">
      <alignment vertical="center"/>
      <protection hidden="1"/>
    </xf>
    <xf numFmtId="1" fontId="4" fillId="3" borderId="55" xfId="2" applyNumberFormat="1" applyFont="1" applyFill="1" applyBorder="1" applyAlignment="1" applyProtection="1">
      <alignment vertical="center"/>
      <protection hidden="1"/>
    </xf>
    <xf numFmtId="1" fontId="4" fillId="0" borderId="23" xfId="2" applyNumberFormat="1" applyFont="1" applyBorder="1"/>
    <xf numFmtId="3" fontId="4" fillId="0" borderId="42" xfId="2" applyNumberFormat="1" applyFont="1" applyBorder="1"/>
    <xf numFmtId="3" fontId="4" fillId="0" borderId="69" xfId="2" applyNumberFormat="1" applyFont="1" applyBorder="1"/>
    <xf numFmtId="3" fontId="4" fillId="0" borderId="13" xfId="2" applyNumberFormat="1" applyFont="1" applyBorder="1"/>
    <xf numFmtId="1" fontId="4" fillId="0" borderId="68" xfId="2" applyNumberFormat="1" applyFont="1" applyBorder="1" applyAlignment="1">
      <alignment horizontal="right"/>
    </xf>
    <xf numFmtId="1" fontId="4" fillId="3" borderId="32" xfId="2" applyNumberFormat="1" applyFont="1" applyFill="1" applyBorder="1" applyAlignment="1" applyProtection="1">
      <alignment horizontal="left" vertical="center" wrapText="1"/>
      <protection hidden="1"/>
    </xf>
    <xf numFmtId="3" fontId="4" fillId="0" borderId="71" xfId="2" applyNumberFormat="1" applyFont="1" applyBorder="1" applyAlignment="1">
      <alignment wrapText="1"/>
    </xf>
    <xf numFmtId="1" fontId="4" fillId="0" borderId="41" xfId="2" applyNumberFormat="1" applyFont="1" applyBorder="1" applyAlignment="1">
      <alignment horizontal="right"/>
    </xf>
    <xf numFmtId="3" fontId="4" fillId="0" borderId="32" xfId="2" applyNumberFormat="1" applyFont="1" applyBorder="1" applyAlignment="1">
      <alignment wrapText="1"/>
    </xf>
    <xf numFmtId="3" fontId="4" fillId="0" borderId="25" xfId="2" applyNumberFormat="1" applyFont="1" applyBorder="1" applyAlignment="1">
      <alignment wrapText="1"/>
    </xf>
    <xf numFmtId="3" fontId="4" fillId="0" borderId="65" xfId="2" applyNumberFormat="1" applyFont="1" applyBorder="1" applyAlignment="1">
      <alignment wrapText="1"/>
    </xf>
    <xf numFmtId="0" fontId="4" fillId="0" borderId="0" xfId="0" applyFont="1"/>
    <xf numFmtId="1" fontId="5" fillId="0" borderId="3" xfId="3" applyNumberFormat="1" applyFont="1" applyBorder="1" applyProtection="1">
      <protection hidden="1"/>
    </xf>
    <xf numFmtId="1" fontId="5" fillId="0" borderId="0" xfId="3" quotePrefix="1" applyNumberFormat="1" applyFont="1" applyAlignment="1" applyProtection="1">
      <alignment horizontal="left"/>
      <protection hidden="1"/>
    </xf>
    <xf numFmtId="1" fontId="6" fillId="0" borderId="0" xfId="3" applyNumberFormat="1" applyFont="1" applyProtection="1">
      <protection hidden="1"/>
    </xf>
    <xf numFmtId="1" fontId="5" fillId="0" borderId="0" xfId="0" applyNumberFormat="1" applyFont="1" applyAlignment="1">
      <alignment vertical="center"/>
    </xf>
    <xf numFmtId="0" fontId="26" fillId="0" borderId="0" xfId="0" applyFont="1"/>
    <xf numFmtId="1" fontId="6" fillId="0" borderId="0" xfId="0" applyNumberFormat="1" applyFont="1" applyAlignment="1">
      <alignment horizontal="center" vertical="center" wrapText="1"/>
    </xf>
    <xf numFmtId="1" fontId="4" fillId="0" borderId="179" xfId="2" applyNumberFormat="1" applyFont="1" applyBorder="1" applyAlignment="1" applyProtection="1">
      <alignment horizontal="center" vertical="center"/>
      <protection hidden="1"/>
    </xf>
    <xf numFmtId="1" fontId="4" fillId="0" borderId="180" xfId="3" applyNumberFormat="1" applyFont="1" applyBorder="1" applyAlignment="1" applyProtection="1">
      <alignment horizontal="center" vertical="center" wrapText="1"/>
      <protection hidden="1"/>
    </xf>
    <xf numFmtId="1" fontId="4" fillId="0" borderId="90" xfId="3" applyNumberFormat="1" applyFont="1" applyBorder="1" applyAlignment="1" applyProtection="1">
      <alignment horizontal="center" vertical="center" wrapText="1"/>
      <protection hidden="1"/>
    </xf>
    <xf numFmtId="1" fontId="4" fillId="0" borderId="186" xfId="0" applyNumberFormat="1" applyFont="1" applyBorder="1" applyAlignment="1">
      <alignment horizontal="center" vertical="center"/>
    </xf>
    <xf numFmtId="1" fontId="4" fillId="0" borderId="25" xfId="3" applyNumberFormat="1" applyFont="1" applyBorder="1" applyAlignment="1">
      <alignment horizontal="right"/>
    </xf>
    <xf numFmtId="1" fontId="4" fillId="0" borderId="26" xfId="3" applyNumberFormat="1" applyFont="1" applyBorder="1" applyAlignment="1">
      <alignment horizontal="right"/>
    </xf>
    <xf numFmtId="1" fontId="4" fillId="0" borderId="24" xfId="3" applyNumberFormat="1" applyFont="1" applyBorder="1" applyAlignment="1">
      <alignment horizontal="right"/>
    </xf>
    <xf numFmtId="1" fontId="4" fillId="4" borderId="23" xfId="3" applyNumberFormat="1" applyFont="1" applyFill="1" applyBorder="1" applyAlignment="1" applyProtection="1">
      <alignment horizontal="right"/>
      <protection locked="0"/>
    </xf>
    <xf numFmtId="1" fontId="4" fillId="4" borderId="24" xfId="3" applyNumberFormat="1" applyFont="1" applyFill="1" applyBorder="1" applyAlignment="1" applyProtection="1">
      <alignment horizontal="right"/>
      <protection locked="0"/>
    </xf>
    <xf numFmtId="1" fontId="4" fillId="4" borderId="137" xfId="3" applyNumberFormat="1" applyFont="1" applyFill="1" applyBorder="1" applyAlignment="1" applyProtection="1">
      <alignment horizontal="right"/>
      <protection locked="0"/>
    </xf>
    <xf numFmtId="1" fontId="4" fillId="4" borderId="106" xfId="3" applyNumberFormat="1" applyFont="1" applyFill="1" applyBorder="1" applyAlignment="1" applyProtection="1">
      <alignment horizontal="right"/>
      <protection locked="0"/>
    </xf>
    <xf numFmtId="1" fontId="4" fillId="4" borderId="26" xfId="3" applyNumberFormat="1" applyFont="1" applyFill="1" applyBorder="1" applyAlignment="1" applyProtection="1">
      <alignment horizontal="right"/>
      <protection locked="0"/>
    </xf>
    <xf numFmtId="1" fontId="4" fillId="0" borderId="44" xfId="3" applyNumberFormat="1" applyFont="1" applyBorder="1" applyAlignment="1">
      <alignment horizontal="right"/>
    </xf>
    <xf numFmtId="1" fontId="4" fillId="0" borderId="45" xfId="3" applyNumberFormat="1" applyFont="1" applyBorder="1" applyAlignment="1">
      <alignment horizontal="right"/>
    </xf>
    <xf numFmtId="1" fontId="4" fillId="0" borderId="50" xfId="3" applyNumberFormat="1" applyFont="1" applyBorder="1" applyAlignment="1">
      <alignment horizontal="right"/>
    </xf>
    <xf numFmtId="1" fontId="4" fillId="4" borderId="48" xfId="3" applyNumberFormat="1" applyFont="1" applyFill="1" applyBorder="1" applyAlignment="1" applyProtection="1">
      <alignment horizontal="right"/>
      <protection locked="0"/>
    </xf>
    <xf numFmtId="1" fontId="4" fillId="4" borderId="50" xfId="3" applyNumberFormat="1" applyFont="1" applyFill="1" applyBorder="1" applyAlignment="1" applyProtection="1">
      <alignment horizontal="right"/>
      <protection locked="0"/>
    </xf>
    <xf numFmtId="1" fontId="4" fillId="4" borderId="147" xfId="3" applyNumberFormat="1" applyFont="1" applyFill="1" applyBorder="1" applyAlignment="1" applyProtection="1">
      <alignment horizontal="right"/>
      <protection locked="0"/>
    </xf>
    <xf numFmtId="1" fontId="4" fillId="4" borderId="108" xfId="3" applyNumberFormat="1" applyFont="1" applyFill="1" applyBorder="1" applyAlignment="1" applyProtection="1">
      <alignment horizontal="right"/>
      <protection locked="0"/>
    </xf>
    <xf numFmtId="1" fontId="4" fillId="4" borderId="45" xfId="3" applyNumberFormat="1" applyFont="1" applyFill="1" applyBorder="1" applyAlignment="1" applyProtection="1">
      <alignment horizontal="right"/>
      <protection locked="0"/>
    </xf>
    <xf numFmtId="1" fontId="4" fillId="4" borderId="68" xfId="3" applyNumberFormat="1" applyFont="1" applyFill="1" applyBorder="1" applyAlignment="1" applyProtection="1">
      <alignment horizontal="right"/>
      <protection locked="0"/>
    </xf>
    <xf numFmtId="1" fontId="4" fillId="4" borderId="70" xfId="3" applyNumberFormat="1" applyFont="1" applyFill="1" applyBorder="1" applyAlignment="1" applyProtection="1">
      <alignment horizontal="right"/>
      <protection locked="0"/>
    </xf>
    <xf numFmtId="1" fontId="4" fillId="4" borderId="141" xfId="3" applyNumberFormat="1" applyFont="1" applyFill="1" applyBorder="1" applyAlignment="1" applyProtection="1">
      <alignment horizontal="right"/>
      <protection locked="0"/>
    </xf>
    <xf numFmtId="1" fontId="4" fillId="4" borderId="41" xfId="3" applyNumberFormat="1" applyFont="1" applyFill="1" applyBorder="1" applyAlignment="1" applyProtection="1">
      <alignment horizontal="right"/>
      <protection locked="0"/>
    </xf>
    <xf numFmtId="1" fontId="4" fillId="4" borderId="143" xfId="3" applyNumberFormat="1" applyFont="1" applyFill="1" applyBorder="1" applyAlignment="1" applyProtection="1">
      <alignment horizontal="right"/>
      <protection locked="0"/>
    </xf>
    <xf numFmtId="1" fontId="4" fillId="4" borderId="66" xfId="3" applyNumberFormat="1" applyFont="1" applyFill="1" applyBorder="1" applyAlignment="1" applyProtection="1">
      <alignment horizontal="right"/>
      <protection locked="0"/>
    </xf>
    <xf numFmtId="1" fontId="4" fillId="0" borderId="180" xfId="3" applyNumberFormat="1" applyFont="1" applyBorder="1" applyAlignment="1">
      <alignment horizontal="right"/>
    </xf>
    <xf numFmtId="1" fontId="4" fillId="0" borderId="90" xfId="3" applyNumberFormat="1" applyFont="1" applyBorder="1" applyAlignment="1">
      <alignment horizontal="right"/>
    </xf>
    <xf numFmtId="1" fontId="4" fillId="0" borderId="122" xfId="3" applyNumberFormat="1" applyFont="1" applyBorder="1" applyAlignment="1">
      <alignment horizontal="right"/>
    </xf>
    <xf numFmtId="1" fontId="4" fillId="0" borderId="130" xfId="3" applyNumberFormat="1" applyFont="1" applyBorder="1" applyAlignment="1">
      <alignment horizontal="right"/>
    </xf>
    <xf numFmtId="1" fontId="4" fillId="0" borderId="100" xfId="3" applyNumberFormat="1" applyFont="1" applyBorder="1" applyAlignment="1">
      <alignment horizontal="right"/>
    </xf>
    <xf numFmtId="1" fontId="4" fillId="0" borderId="50" xfId="9" applyNumberFormat="1" applyFont="1" applyFill="1" applyBorder="1" applyAlignment="1" applyProtection="1">
      <alignment horizontal="right"/>
    </xf>
    <xf numFmtId="1" fontId="4" fillId="0" borderId="16" xfId="3" applyNumberFormat="1" applyFont="1" applyBorder="1" applyAlignment="1">
      <alignment horizontal="right"/>
    </xf>
    <xf numFmtId="1" fontId="4" fillId="0" borderId="63" xfId="9" applyNumberFormat="1" applyFont="1" applyFill="1" applyBorder="1" applyAlignment="1" applyProtection="1">
      <alignment horizontal="right"/>
    </xf>
    <xf numFmtId="1" fontId="4" fillId="4" borderId="68" xfId="9" applyNumberFormat="1" applyFont="1" applyFill="1" applyBorder="1" applyAlignment="1">
      <alignment horizontal="right"/>
      <protection locked="0"/>
    </xf>
    <xf numFmtId="1" fontId="4" fillId="4" borderId="70" xfId="9" applyNumberFormat="1" applyFont="1" applyFill="1" applyBorder="1" applyAlignment="1">
      <alignment horizontal="right"/>
      <protection locked="0"/>
    </xf>
    <xf numFmtId="1" fontId="4" fillId="4" borderId="141" xfId="9" applyNumberFormat="1" applyFont="1" applyFill="1" applyBorder="1" applyAlignment="1">
      <alignment horizontal="right"/>
      <protection locked="0"/>
    </xf>
    <xf numFmtId="1" fontId="4" fillId="4" borderId="143" xfId="9" applyNumberFormat="1" applyFont="1" applyFill="1" applyBorder="1" applyAlignment="1">
      <alignment horizontal="right"/>
      <protection locked="0"/>
    </xf>
    <xf numFmtId="1" fontId="4" fillId="4" borderId="66" xfId="9" applyNumberFormat="1" applyFont="1" applyFill="1" applyBorder="1" applyAlignment="1">
      <alignment horizontal="right"/>
      <protection locked="0"/>
    </xf>
    <xf numFmtId="1" fontId="4" fillId="0" borderId="186" xfId="3" applyNumberFormat="1" applyFont="1" applyBorder="1" applyAlignment="1">
      <alignment horizontal="right"/>
    </xf>
    <xf numFmtId="1" fontId="4" fillId="0" borderId="122" xfId="9" applyNumberFormat="1" applyFont="1" applyFill="1" applyBorder="1" applyAlignment="1" applyProtection="1">
      <alignment horizontal="right"/>
    </xf>
    <xf numFmtId="1" fontId="4" fillId="0" borderId="186" xfId="9" applyNumberFormat="1" applyFont="1" applyFill="1" applyBorder="1" applyAlignment="1" applyProtection="1">
      <alignment horizontal="right"/>
    </xf>
    <xf numFmtId="1" fontId="4" fillId="0" borderId="20" xfId="9" applyNumberFormat="1" applyFont="1" applyFill="1" applyBorder="1" applyAlignment="1" applyProtection="1">
      <alignment horizontal="right"/>
    </xf>
    <xf numFmtId="1" fontId="4" fillId="0" borderId="130" xfId="9" applyNumberFormat="1" applyFont="1" applyFill="1" applyBorder="1" applyAlignment="1" applyProtection="1">
      <alignment horizontal="right"/>
    </xf>
    <xf numFmtId="1" fontId="4" fillId="0" borderId="100" xfId="9" applyNumberFormat="1" applyFont="1" applyFill="1" applyBorder="1" applyAlignment="1" applyProtection="1">
      <alignment horizontal="right"/>
    </xf>
    <xf numFmtId="1" fontId="4" fillId="0" borderId="90" xfId="9" applyNumberFormat="1" applyFont="1" applyFill="1" applyBorder="1" applyAlignment="1" applyProtection="1">
      <alignment horizontal="right"/>
    </xf>
    <xf numFmtId="1" fontId="4" fillId="0" borderId="180" xfId="9" applyNumberFormat="1" applyFont="1" applyFill="1" applyBorder="1" applyAlignment="1" applyProtection="1">
      <alignment horizontal="right"/>
    </xf>
    <xf numFmtId="1" fontId="5" fillId="0" borderId="197" xfId="3" applyNumberFormat="1" applyFont="1" applyBorder="1" applyProtection="1">
      <protection hidden="1"/>
    </xf>
    <xf numFmtId="1" fontId="6" fillId="0" borderId="197" xfId="9" applyNumberFormat="1" applyFont="1" applyFill="1" applyBorder="1" applyProtection="1"/>
    <xf numFmtId="1" fontId="6" fillId="0" borderId="197" xfId="0" applyNumberFormat="1" applyFont="1" applyBorder="1" applyProtection="1">
      <protection hidden="1"/>
    </xf>
    <xf numFmtId="1" fontId="6" fillId="0" borderId="197" xfId="0" applyNumberFormat="1" applyFont="1" applyBorder="1"/>
    <xf numFmtId="1" fontId="4" fillId="0" borderId="200" xfId="3" applyNumberFormat="1" applyFont="1" applyBorder="1" applyAlignment="1" applyProtection="1">
      <alignment horizontal="center" vertical="center" wrapText="1"/>
      <protection hidden="1"/>
    </xf>
    <xf numFmtId="1" fontId="4" fillId="0" borderId="203" xfId="3" applyNumberFormat="1" applyFont="1" applyBorder="1" applyAlignment="1" applyProtection="1">
      <alignment horizontal="center" vertical="center" wrapText="1"/>
      <protection hidden="1"/>
    </xf>
    <xf numFmtId="1" fontId="4" fillId="0" borderId="202" xfId="3" applyNumberFormat="1" applyFont="1" applyBorder="1" applyAlignment="1" applyProtection="1">
      <alignment horizontal="center" vertical="center" wrapText="1"/>
      <protection hidden="1"/>
    </xf>
    <xf numFmtId="1" fontId="4" fillId="0" borderId="202" xfId="0" applyNumberFormat="1" applyFont="1" applyBorder="1" applyAlignment="1">
      <alignment horizontal="center" vertical="center"/>
    </xf>
    <xf numFmtId="1" fontId="4" fillId="0" borderId="203" xfId="0" applyNumberFormat="1" applyFont="1" applyBorder="1" applyAlignment="1">
      <alignment horizontal="center" vertical="center"/>
    </xf>
    <xf numFmtId="1" fontId="4" fillId="0" borderId="30" xfId="3" applyNumberFormat="1" applyFont="1" applyBorder="1" applyAlignment="1">
      <alignment horizontal="right"/>
    </xf>
    <xf numFmtId="1" fontId="4" fillId="4" borderId="23" xfId="9" applyNumberFormat="1" applyFont="1" applyFill="1" applyBorder="1" applyAlignment="1">
      <alignment horizontal="right"/>
      <protection locked="0"/>
    </xf>
    <xf numFmtId="1" fontId="4" fillId="4" borderId="24" xfId="9" applyNumberFormat="1" applyFont="1" applyFill="1" applyBorder="1" applyAlignment="1">
      <alignment horizontal="right"/>
      <protection locked="0"/>
    </xf>
    <xf numFmtId="1" fontId="4" fillId="4" borderId="137" xfId="9" applyNumberFormat="1" applyFont="1" applyFill="1" applyBorder="1" applyAlignment="1">
      <alignment horizontal="right"/>
      <protection locked="0"/>
    </xf>
    <xf numFmtId="1" fontId="4" fillId="4" borderId="106" xfId="9" applyNumberFormat="1" applyFont="1" applyFill="1" applyBorder="1" applyAlignment="1">
      <alignment horizontal="right"/>
      <protection locked="0"/>
    </xf>
    <xf numFmtId="1" fontId="4" fillId="0" borderId="37" xfId="3" applyNumberFormat="1" applyFont="1" applyBorder="1" applyAlignment="1">
      <alignment horizontal="right"/>
    </xf>
    <xf numFmtId="1" fontId="4" fillId="0" borderId="42" xfId="3" applyNumberFormat="1" applyFont="1" applyBorder="1" applyAlignment="1">
      <alignment horizontal="right"/>
    </xf>
    <xf numFmtId="1" fontId="4" fillId="5" borderId="48" xfId="9" applyNumberFormat="1" applyFont="1" applyFill="1" applyBorder="1" applyAlignment="1" applyProtection="1">
      <alignment horizontal="right"/>
    </xf>
    <xf numFmtId="1" fontId="4" fillId="5" borderId="50" xfId="9" applyNumberFormat="1" applyFont="1" applyFill="1" applyBorder="1" applyAlignment="1" applyProtection="1">
      <alignment horizontal="right"/>
    </xf>
    <xf numFmtId="1" fontId="4" fillId="4" borderId="48" xfId="9" applyNumberFormat="1" applyFont="1" applyFill="1" applyBorder="1" applyAlignment="1">
      <alignment horizontal="right"/>
      <protection locked="0"/>
    </xf>
    <xf numFmtId="1" fontId="4" fillId="4" borderId="50" xfId="9" applyNumberFormat="1" applyFont="1" applyFill="1" applyBorder="1" applyAlignment="1">
      <alignment horizontal="right"/>
      <protection locked="0"/>
    </xf>
    <xf numFmtId="1" fontId="4" fillId="4" borderId="147" xfId="9" applyNumberFormat="1" applyFont="1" applyFill="1" applyBorder="1" applyAlignment="1">
      <alignment horizontal="right"/>
      <protection locked="0"/>
    </xf>
    <xf numFmtId="1" fontId="4" fillId="4" borderId="108" xfId="9" applyNumberFormat="1" applyFont="1" applyFill="1" applyBorder="1" applyAlignment="1">
      <alignment horizontal="right"/>
      <protection locked="0"/>
    </xf>
    <xf numFmtId="1" fontId="4" fillId="5" borderId="68" xfId="9" applyNumberFormat="1" applyFont="1" applyFill="1" applyBorder="1" applyAlignment="1" applyProtection="1">
      <alignment horizontal="right"/>
    </xf>
    <xf numFmtId="1" fontId="4" fillId="5" borderId="70" xfId="9" applyNumberFormat="1" applyFont="1" applyFill="1" applyBorder="1" applyAlignment="1" applyProtection="1">
      <alignment horizontal="right"/>
    </xf>
    <xf numFmtId="1" fontId="4" fillId="0" borderId="200" xfId="3" applyNumberFormat="1" applyFont="1" applyBorder="1" applyAlignment="1">
      <alignment horizontal="right"/>
    </xf>
    <xf numFmtId="1" fontId="4" fillId="0" borderId="203" xfId="3" applyNumberFormat="1" applyFont="1" applyBorder="1" applyAlignment="1">
      <alignment horizontal="right"/>
    </xf>
    <xf numFmtId="1" fontId="4" fillId="0" borderId="202" xfId="3" applyNumberFormat="1" applyFont="1" applyBorder="1" applyAlignment="1">
      <alignment horizontal="right"/>
    </xf>
    <xf numFmtId="1" fontId="4" fillId="0" borderId="203" xfId="3" applyNumberFormat="1" applyFont="1" applyBorder="1" applyAlignment="1" applyProtection="1">
      <alignment horizontal="center" vertical="center"/>
      <protection hidden="1"/>
    </xf>
    <xf numFmtId="1" fontId="4" fillId="0" borderId="90" xfId="3" applyNumberFormat="1" applyFont="1" applyBorder="1" applyAlignment="1" applyProtection="1">
      <alignment horizontal="center" vertical="center"/>
      <protection hidden="1"/>
    </xf>
    <xf numFmtId="1" fontId="4" fillId="0" borderId="203" xfId="6" applyNumberFormat="1" applyFont="1" applyBorder="1" applyAlignment="1">
      <alignment horizontal="center" vertical="center" wrapText="1"/>
    </xf>
    <xf numFmtId="1" fontId="4" fillId="0" borderId="122" xfId="3" applyNumberFormat="1" applyFont="1" applyBorder="1" applyAlignment="1" applyProtection="1">
      <alignment horizontal="center" vertical="center" wrapText="1"/>
      <protection hidden="1"/>
    </xf>
    <xf numFmtId="1" fontId="4" fillId="0" borderId="94" xfId="3" applyNumberFormat="1" applyFont="1" applyBorder="1" applyAlignment="1" applyProtection="1">
      <alignment horizontal="center" vertical="center" wrapText="1"/>
      <protection hidden="1"/>
    </xf>
    <xf numFmtId="1" fontId="4" fillId="0" borderId="26" xfId="9" applyNumberFormat="1" applyFont="1" applyFill="1" applyBorder="1" applyAlignment="1" applyProtection="1">
      <alignment horizontal="right"/>
    </xf>
    <xf numFmtId="1" fontId="4" fillId="0" borderId="24" xfId="9" applyNumberFormat="1" applyFont="1" applyFill="1" applyBorder="1" applyAlignment="1" applyProtection="1">
      <alignment horizontal="right"/>
    </xf>
    <xf numFmtId="1" fontId="4" fillId="4" borderId="26" xfId="9" applyNumberFormat="1" applyFont="1" applyFill="1" applyBorder="1" applyAlignment="1">
      <alignment horizontal="right"/>
      <protection locked="0"/>
    </xf>
    <xf numFmtId="1" fontId="4" fillId="4" borderId="96" xfId="9" applyNumberFormat="1" applyFont="1" applyFill="1" applyBorder="1" applyAlignment="1">
      <alignment horizontal="right"/>
      <protection locked="0"/>
    </xf>
    <xf numFmtId="1" fontId="4" fillId="4" borderId="24" xfId="9" quotePrefix="1" applyNumberFormat="1" applyFont="1" applyFill="1" applyBorder="1" applyAlignment="1">
      <alignment horizontal="right"/>
      <protection locked="0"/>
    </xf>
    <xf numFmtId="1" fontId="4" fillId="0" borderId="45" xfId="9" applyNumberFormat="1" applyFont="1" applyFill="1" applyBorder="1" applyAlignment="1" applyProtection="1">
      <alignment horizontal="right"/>
    </xf>
    <xf numFmtId="1" fontId="4" fillId="4" borderId="45" xfId="9" applyNumberFormat="1" applyFont="1" applyFill="1" applyBorder="1" applyAlignment="1">
      <alignment horizontal="right"/>
      <protection locked="0"/>
    </xf>
    <xf numFmtId="1" fontId="4" fillId="4" borderId="150" xfId="9" applyNumberFormat="1" applyFont="1" applyFill="1" applyBorder="1" applyAlignment="1">
      <alignment horizontal="right"/>
      <protection locked="0"/>
    </xf>
    <xf numFmtId="1" fontId="4" fillId="4" borderId="50" xfId="9" quotePrefix="1" applyNumberFormat="1" applyFont="1" applyFill="1" applyBorder="1" applyAlignment="1">
      <alignment horizontal="right"/>
      <protection locked="0"/>
    </xf>
    <xf numFmtId="1" fontId="4" fillId="0" borderId="97" xfId="3" applyNumberFormat="1" applyFont="1" applyBorder="1" applyAlignment="1">
      <alignment horizontal="right"/>
    </xf>
    <xf numFmtId="1" fontId="4" fillId="0" borderId="51" xfId="9" applyNumberFormat="1" applyFont="1" applyFill="1" applyBorder="1" applyAlignment="1" applyProtection="1">
      <alignment horizontal="right"/>
    </xf>
    <xf numFmtId="1" fontId="4" fillId="0" borderId="56" xfId="9" applyNumberFormat="1" applyFont="1" applyFill="1" applyBorder="1" applyAlignment="1" applyProtection="1">
      <alignment horizontal="right"/>
    </xf>
    <xf numFmtId="1" fontId="4" fillId="4" borderId="149" xfId="9" applyNumberFormat="1" applyFont="1" applyFill="1" applyBorder="1" applyAlignment="1">
      <alignment horizontal="right"/>
      <protection locked="0"/>
    </xf>
    <xf numFmtId="1" fontId="4" fillId="4" borderId="70" xfId="9" quotePrefix="1" applyNumberFormat="1" applyFont="1" applyFill="1" applyBorder="1" applyAlignment="1">
      <alignment horizontal="right"/>
      <protection locked="0"/>
    </xf>
    <xf numFmtId="1" fontId="4" fillId="0" borderId="203" xfId="9" applyNumberFormat="1" applyFont="1" applyFill="1" applyBorder="1" applyAlignment="1" applyProtection="1">
      <alignment horizontal="right"/>
    </xf>
    <xf numFmtId="1" fontId="4" fillId="0" borderId="94" xfId="9" applyNumberFormat="1" applyFont="1" applyFill="1" applyBorder="1" applyAlignment="1" applyProtection="1">
      <alignment horizontal="right"/>
    </xf>
    <xf numFmtId="1" fontId="6" fillId="0" borderId="0" xfId="9" applyNumberFormat="1" applyFont="1" applyFill="1" applyBorder="1" applyProtection="1"/>
    <xf numFmtId="1" fontId="4" fillId="0" borderId="202" xfId="3" applyNumberFormat="1" applyFont="1" applyBorder="1" applyAlignment="1" applyProtection="1">
      <alignment horizontal="center" vertical="center"/>
      <protection hidden="1"/>
    </xf>
    <xf numFmtId="1" fontId="4" fillId="0" borderId="202" xfId="9" applyNumberFormat="1" applyFont="1" applyFill="1" applyBorder="1" applyAlignment="1" applyProtection="1">
      <alignment horizontal="right"/>
    </xf>
    <xf numFmtId="1" fontId="4" fillId="4" borderId="122" xfId="9" applyNumberFormat="1" applyFont="1" applyFill="1" applyBorder="1" applyAlignment="1">
      <alignment horizontal="right"/>
      <protection locked="0"/>
    </xf>
    <xf numFmtId="1" fontId="4" fillId="4" borderId="90" xfId="9" applyNumberFormat="1" applyFont="1" applyFill="1" applyBorder="1" applyAlignment="1">
      <alignment horizontal="right"/>
      <protection locked="0"/>
    </xf>
    <xf numFmtId="1" fontId="4" fillId="4" borderId="94" xfId="9" applyNumberFormat="1" applyFont="1" applyFill="1" applyBorder="1" applyAlignment="1">
      <alignment horizontal="right"/>
      <protection locked="0"/>
    </xf>
    <xf numFmtId="1" fontId="4" fillId="4" borderId="203" xfId="9" applyNumberFormat="1" applyFont="1" applyFill="1" applyBorder="1" applyAlignment="1">
      <alignment horizontal="right"/>
      <protection locked="0"/>
    </xf>
    <xf numFmtId="1" fontId="4" fillId="0" borderId="208" xfId="10" applyNumberFormat="1" applyFont="1" applyFill="1" applyBorder="1" applyAlignment="1" applyProtection="1">
      <alignment horizontal="right"/>
    </xf>
    <xf numFmtId="1" fontId="4" fillId="0" borderId="209" xfId="10" applyNumberFormat="1" applyFont="1" applyFill="1" applyBorder="1" applyAlignment="1" applyProtection="1">
      <alignment horizontal="right"/>
    </xf>
    <xf numFmtId="1" fontId="4" fillId="0" borderId="45" xfId="10" applyNumberFormat="1" applyFont="1" applyFill="1" applyBorder="1" applyAlignment="1" applyProtection="1">
      <alignment horizontal="right"/>
    </xf>
    <xf numFmtId="1" fontId="4" fillId="0" borderId="50" xfId="10" applyNumberFormat="1" applyFont="1" applyFill="1" applyBorder="1" applyAlignment="1" applyProtection="1">
      <alignment horizontal="right"/>
    </xf>
    <xf numFmtId="1" fontId="4" fillId="0" borderId="119" xfId="3" applyNumberFormat="1" applyFont="1" applyBorder="1" applyAlignment="1" applyProtection="1">
      <alignment vertical="center" wrapText="1"/>
      <protection hidden="1"/>
    </xf>
    <xf numFmtId="1" fontId="4" fillId="0" borderId="33" xfId="10" applyNumberFormat="1" applyFont="1" applyFill="1" applyBorder="1" applyAlignment="1" applyProtection="1">
      <alignment horizontal="right"/>
    </xf>
    <xf numFmtId="1" fontId="4" fillId="0" borderId="22" xfId="10" applyNumberFormat="1" applyFont="1" applyFill="1" applyBorder="1" applyAlignment="1" applyProtection="1">
      <alignment horizontal="right"/>
    </xf>
    <xf numFmtId="1" fontId="4" fillId="0" borderId="26" xfId="3" applyNumberFormat="1" applyFont="1" applyBorder="1" applyAlignment="1" applyProtection="1">
      <alignment horizontal="right"/>
      <protection hidden="1"/>
    </xf>
    <xf numFmtId="1" fontId="4" fillId="0" borderId="30" xfId="3" applyNumberFormat="1" applyFont="1" applyBorder="1" applyAlignment="1" applyProtection="1">
      <alignment horizontal="right"/>
      <protection hidden="1"/>
    </xf>
    <xf numFmtId="1" fontId="4" fillId="4" borderId="41" xfId="9" applyNumberFormat="1" applyFont="1" applyFill="1" applyBorder="1" applyAlignment="1">
      <alignment horizontal="right"/>
      <protection locked="0"/>
    </xf>
    <xf numFmtId="1" fontId="4" fillId="4" borderId="43" xfId="9" applyNumberFormat="1" applyFont="1" applyFill="1" applyBorder="1" applyAlignment="1">
      <alignment horizontal="right"/>
      <protection locked="0"/>
    </xf>
    <xf numFmtId="1" fontId="4" fillId="4" borderId="148" xfId="9" applyNumberFormat="1" applyFont="1" applyFill="1" applyBorder="1" applyAlignment="1">
      <alignment horizontal="right"/>
      <protection locked="0"/>
    </xf>
    <xf numFmtId="1" fontId="4" fillId="4" borderId="37" xfId="9" applyNumberFormat="1" applyFont="1" applyFill="1" applyBorder="1" applyAlignment="1">
      <alignment horizontal="right"/>
      <protection locked="0"/>
    </xf>
    <xf numFmtId="1" fontId="4" fillId="0" borderId="66" xfId="3" applyNumberFormat="1" applyFont="1" applyBorder="1" applyAlignment="1" applyProtection="1">
      <alignment horizontal="right"/>
      <protection hidden="1"/>
    </xf>
    <xf numFmtId="1" fontId="4" fillId="0" borderId="69" xfId="3" applyNumberFormat="1" applyFont="1" applyBorder="1" applyAlignment="1" applyProtection="1">
      <alignment horizontal="right"/>
      <protection hidden="1"/>
    </xf>
    <xf numFmtId="1" fontId="4" fillId="15" borderId="200" xfId="0" applyNumberFormat="1" applyFont="1" applyFill="1" applyBorder="1"/>
    <xf numFmtId="0" fontId="4" fillId="0" borderId="25" xfId="3" applyFont="1" applyBorder="1" applyAlignment="1" applyProtection="1">
      <alignment vertical="center" wrapText="1"/>
      <protection hidden="1"/>
    </xf>
    <xf numFmtId="0" fontId="4" fillId="0" borderId="114" xfId="3" applyFont="1" applyBorder="1" applyAlignment="1" applyProtection="1">
      <alignment vertical="center" wrapText="1"/>
      <protection hidden="1"/>
    </xf>
    <xf numFmtId="0" fontId="4" fillId="0" borderId="49" xfId="3" applyFont="1" applyBorder="1" applyAlignment="1" applyProtection="1">
      <alignment vertical="center" wrapText="1"/>
      <protection hidden="1"/>
    </xf>
    <xf numFmtId="0" fontId="4" fillId="0" borderId="97" xfId="3" applyFont="1" applyBorder="1" applyAlignment="1" applyProtection="1">
      <alignment vertical="center" wrapText="1"/>
      <protection hidden="1"/>
    </xf>
    <xf numFmtId="1" fontId="2" fillId="0" borderId="202" xfId="3" applyNumberFormat="1" applyFont="1" applyBorder="1" applyAlignment="1" applyProtection="1">
      <alignment vertical="center" wrapText="1"/>
      <protection hidden="1"/>
    </xf>
    <xf numFmtId="165" fontId="4" fillId="0" borderId="44" xfId="3" applyNumberFormat="1" applyFont="1" applyBorder="1" applyAlignment="1" applyProtection="1">
      <protection hidden="1"/>
    </xf>
    <xf numFmtId="165" fontId="4" fillId="0" borderId="49" xfId="3" applyNumberFormat="1" applyFont="1" applyBorder="1" applyAlignment="1" applyProtection="1">
      <protection hidden="1"/>
    </xf>
    <xf numFmtId="165" fontId="4" fillId="0" borderId="69" xfId="3" applyNumberFormat="1" applyFont="1" applyBorder="1" applyAlignment="1" applyProtection="1">
      <protection hidden="1"/>
    </xf>
    <xf numFmtId="1" fontId="2" fillId="0" borderId="202" xfId="3" quotePrefix="1" applyNumberFormat="1" applyFont="1" applyBorder="1" applyAlignment="1" applyProtection="1">
      <alignment vertical="center" wrapText="1"/>
      <protection hidden="1"/>
    </xf>
    <xf numFmtId="1" fontId="2" fillId="3" borderId="200" xfId="3" applyNumberFormat="1" applyFont="1" applyFill="1" applyBorder="1" applyAlignment="1" applyProtection="1">
      <alignment vertical="center" wrapText="1"/>
      <protection hidden="1"/>
    </xf>
    <xf numFmtId="1" fontId="4" fillId="0" borderId="200" xfId="0" applyNumberFormat="1" applyFont="1" applyBorder="1" applyAlignment="1">
      <alignment horizontal="center" vertical="center" wrapText="1"/>
    </xf>
    <xf numFmtId="0" fontId="4" fillId="0" borderId="44" xfId="3" applyFont="1" applyBorder="1" applyAlignment="1" applyProtection="1">
      <alignment vertical="center" wrapText="1"/>
      <protection hidden="1"/>
    </xf>
    <xf numFmtId="0" fontId="4" fillId="0" borderId="113" xfId="3" applyFont="1" applyBorder="1" applyAlignment="1" applyProtection="1">
      <alignment vertical="center" wrapText="1"/>
      <protection hidden="1"/>
    </xf>
    <xf numFmtId="0" fontId="4" fillId="0" borderId="30" xfId="3" applyFont="1" applyBorder="1" applyAlignment="1" applyProtection="1">
      <alignment vertical="center" wrapText="1"/>
      <protection hidden="1"/>
    </xf>
    <xf numFmtId="0" fontId="4" fillId="0" borderId="119" xfId="3" applyFont="1" applyBorder="1" applyAlignment="1" applyProtection="1">
      <alignment vertical="center" wrapText="1"/>
      <protection hidden="1"/>
    </xf>
    <xf numFmtId="0" fontId="4" fillId="0" borderId="69" xfId="3" applyFont="1" applyBorder="1" applyAlignment="1" applyProtection="1">
      <alignment vertical="center" wrapText="1"/>
      <protection hidden="1"/>
    </xf>
    <xf numFmtId="1" fontId="4" fillId="0" borderId="69" xfId="3" applyNumberFormat="1" applyFont="1" applyBorder="1" applyAlignment="1" applyProtection="1">
      <alignment vertical="center" wrapText="1"/>
      <protection hidden="1"/>
    </xf>
    <xf numFmtId="1" fontId="5" fillId="0" borderId="0" xfId="2" applyNumberFormat="1" applyFont="1" applyAlignment="1" applyProtection="1">
      <alignment horizontal="center" vertical="center"/>
      <protection hidden="1"/>
    </xf>
    <xf numFmtId="1" fontId="2" fillId="0" borderId="0" xfId="2" applyNumberFormat="1" applyFont="1" applyAlignment="1" applyProtection="1">
      <alignment horizontal="center" vertical="center"/>
      <protection hidden="1"/>
    </xf>
    <xf numFmtId="1" fontId="4" fillId="0" borderId="200" xfId="2" applyNumberFormat="1" applyFont="1" applyBorder="1" applyAlignment="1" applyProtection="1">
      <alignment horizontal="center" vertical="center" wrapText="1"/>
      <protection hidden="1"/>
    </xf>
    <xf numFmtId="1" fontId="4" fillId="0" borderId="130" xfId="3" applyNumberFormat="1" applyFont="1" applyBorder="1" applyAlignment="1" applyProtection="1">
      <alignment horizontal="center" vertical="center" wrapText="1"/>
      <protection hidden="1"/>
    </xf>
    <xf numFmtId="1" fontId="4" fillId="0" borderId="200" xfId="0" applyNumberFormat="1" applyFont="1" applyBorder="1" applyAlignment="1">
      <alignment horizontal="center" vertical="center"/>
    </xf>
    <xf numFmtId="1" fontId="4" fillId="12" borderId="122" xfId="2" applyNumberFormat="1" applyFont="1" applyFill="1" applyBorder="1" applyAlignment="1" applyProtection="1">
      <alignment horizontal="right"/>
      <protection locked="0"/>
    </xf>
    <xf numFmtId="1" fontId="4" fillId="12" borderId="130" xfId="2" applyNumberFormat="1" applyFont="1" applyFill="1" applyBorder="1" applyAlignment="1" applyProtection="1">
      <alignment horizontal="right"/>
      <protection locked="0"/>
    </xf>
    <xf numFmtId="1" fontId="4" fillId="12" borderId="90" xfId="2" applyNumberFormat="1" applyFont="1" applyFill="1" applyBorder="1" applyAlignment="1" applyProtection="1">
      <alignment horizontal="right"/>
      <protection locked="0"/>
    </xf>
    <xf numFmtId="1" fontId="4" fillId="12" borderId="129" xfId="2" applyNumberFormat="1" applyFont="1" applyFill="1" applyBorder="1" applyAlignment="1" applyProtection="1">
      <alignment horizontal="right"/>
      <protection locked="0"/>
    </xf>
    <xf numFmtId="1" fontId="4" fillId="12" borderId="202" xfId="2" applyNumberFormat="1" applyFont="1" applyFill="1" applyBorder="1" applyAlignment="1" applyProtection="1">
      <alignment horizontal="right"/>
      <protection locked="0"/>
    </xf>
    <xf numFmtId="1" fontId="12" fillId="0" borderId="0" xfId="0" applyNumberFormat="1" applyFont="1"/>
    <xf numFmtId="1" fontId="4" fillId="7" borderId="202" xfId="2" applyNumberFormat="1" applyFont="1" applyFill="1" applyBorder="1" applyAlignment="1">
      <alignment horizontal="right"/>
    </xf>
    <xf numFmtId="1" fontId="4" fillId="7" borderId="0" xfId="2" applyNumberFormat="1" applyFont="1" applyFill="1" applyProtection="1">
      <protection hidden="1"/>
    </xf>
    <xf numFmtId="0" fontId="4" fillId="0" borderId="25" xfId="0" applyFont="1" applyBorder="1" applyAlignment="1">
      <alignment vertical="center" wrapText="1"/>
    </xf>
    <xf numFmtId="1" fontId="4" fillId="0" borderId="145" xfId="2" applyNumberFormat="1" applyFont="1" applyBorder="1" applyAlignment="1">
      <alignment horizontal="right"/>
    </xf>
    <xf numFmtId="1" fontId="4" fillId="12" borderId="212" xfId="2" applyNumberFormat="1" applyFont="1" applyFill="1" applyBorder="1" applyAlignment="1" applyProtection="1">
      <alignment horizontal="right"/>
      <protection locked="0"/>
    </xf>
    <xf numFmtId="1" fontId="4" fillId="12" borderId="25" xfId="2" applyNumberFormat="1" applyFont="1" applyFill="1" applyBorder="1" applyAlignment="1" applyProtection="1">
      <alignment horizontal="right"/>
      <protection locked="0"/>
    </xf>
    <xf numFmtId="1" fontId="4" fillId="12" borderId="213" xfId="2" applyNumberFormat="1" applyFont="1" applyFill="1" applyBorder="1" applyAlignment="1" applyProtection="1">
      <alignment horizontal="right"/>
      <protection locked="0"/>
    </xf>
    <xf numFmtId="1" fontId="4" fillId="12" borderId="36" xfId="2" applyNumberFormat="1" applyFont="1" applyFill="1" applyBorder="1" applyAlignment="1" applyProtection="1">
      <alignment horizontal="right"/>
      <protection locked="0"/>
    </xf>
    <xf numFmtId="0" fontId="4" fillId="0" borderId="65" xfId="0" applyFont="1" applyBorder="1" applyAlignment="1">
      <alignment vertical="center" wrapText="1"/>
    </xf>
    <xf numFmtId="1" fontId="4" fillId="0" borderId="141" xfId="2" applyNumberFormat="1" applyFont="1" applyBorder="1" applyAlignment="1">
      <alignment horizontal="right"/>
    </xf>
    <xf numFmtId="1" fontId="4" fillId="12" borderId="214" xfId="2" applyNumberFormat="1" applyFont="1" applyFill="1" applyBorder="1" applyAlignment="1" applyProtection="1">
      <alignment horizontal="right"/>
      <protection locked="0"/>
    </xf>
    <xf numFmtId="1" fontId="4" fillId="12" borderId="65" xfId="2" applyNumberFormat="1" applyFont="1" applyFill="1" applyBorder="1" applyAlignment="1" applyProtection="1">
      <alignment horizontal="right"/>
      <protection locked="0"/>
    </xf>
    <xf numFmtId="1" fontId="4" fillId="0" borderId="135" xfId="2" applyNumberFormat="1" applyFont="1" applyBorder="1" applyAlignment="1">
      <alignment horizontal="right"/>
    </xf>
    <xf numFmtId="1" fontId="4" fillId="12" borderId="133" xfId="2" applyNumberFormat="1" applyFont="1" applyFill="1" applyBorder="1" applyAlignment="1" applyProtection="1">
      <alignment horizontal="right"/>
      <protection locked="0"/>
    </xf>
    <xf numFmtId="1" fontId="4" fillId="12" borderId="32" xfId="2" applyNumberFormat="1" applyFont="1" applyFill="1" applyBorder="1" applyAlignment="1" applyProtection="1">
      <alignment horizontal="right"/>
      <protection locked="0"/>
    </xf>
    <xf numFmtId="1" fontId="4" fillId="0" borderId="137" xfId="2" applyNumberFormat="1" applyFont="1" applyBorder="1" applyAlignment="1">
      <alignment horizontal="right"/>
    </xf>
    <xf numFmtId="1" fontId="4" fillId="7" borderId="23" xfId="2" applyNumberFormat="1" applyFont="1" applyFill="1" applyBorder="1" applyAlignment="1">
      <alignment horizontal="right"/>
    </xf>
    <xf numFmtId="1" fontId="4" fillId="12" borderId="94" xfId="2" applyNumberFormat="1" applyFont="1" applyFill="1" applyBorder="1" applyAlignment="1" applyProtection="1">
      <alignment horizontal="right"/>
      <protection locked="0"/>
    </xf>
    <xf numFmtId="1" fontId="2" fillId="0" borderId="0" xfId="0" applyNumberFormat="1" applyFont="1" applyAlignment="1" applyProtection="1">
      <alignment wrapText="1"/>
      <protection hidden="1"/>
    </xf>
    <xf numFmtId="0" fontId="4" fillId="0" borderId="44" xfId="0" applyFont="1" applyBorder="1" applyAlignment="1">
      <alignment vertical="center" wrapText="1"/>
    </xf>
    <xf numFmtId="1" fontId="4" fillId="12" borderId="215" xfId="2" applyNumberFormat="1" applyFont="1" applyFill="1" applyBorder="1" applyAlignment="1" applyProtection="1">
      <alignment horizontal="right"/>
      <protection locked="0"/>
    </xf>
    <xf numFmtId="1" fontId="4" fillId="12" borderId="44" xfId="2" applyNumberFormat="1" applyFont="1" applyFill="1" applyBorder="1" applyAlignment="1" applyProtection="1">
      <alignment horizontal="right"/>
      <protection locked="0"/>
    </xf>
    <xf numFmtId="1" fontId="4" fillId="0" borderId="147" xfId="2" applyNumberFormat="1" applyFont="1" applyBorder="1" applyAlignment="1">
      <alignment horizontal="right"/>
    </xf>
    <xf numFmtId="1" fontId="4" fillId="5" borderId="215" xfId="2" applyNumberFormat="1" applyFont="1" applyFill="1" applyBorder="1" applyAlignment="1">
      <alignment horizontal="right"/>
    </xf>
    <xf numFmtId="1" fontId="4" fillId="0" borderId="153" xfId="2" applyNumberFormat="1" applyFont="1" applyBorder="1" applyAlignment="1">
      <alignment horizontal="right"/>
    </xf>
    <xf numFmtId="1" fontId="4" fillId="12" borderId="216" xfId="2" applyNumberFormat="1" applyFont="1" applyFill="1" applyBorder="1" applyAlignment="1" applyProtection="1">
      <alignment horizontal="right"/>
      <protection locked="0"/>
    </xf>
    <xf numFmtId="1" fontId="4" fillId="12" borderId="97" xfId="2" applyNumberFormat="1" applyFont="1" applyFill="1" applyBorder="1" applyAlignment="1" applyProtection="1">
      <alignment horizontal="right"/>
      <protection locked="0"/>
    </xf>
    <xf numFmtId="1" fontId="4" fillId="12" borderId="55" xfId="2" applyNumberFormat="1" applyFont="1" applyFill="1" applyBorder="1" applyAlignment="1" applyProtection="1">
      <alignment horizontal="right"/>
      <protection locked="0"/>
    </xf>
    <xf numFmtId="1" fontId="4" fillId="5" borderId="25" xfId="0" applyNumberFormat="1" applyFont="1" applyFill="1" applyBorder="1" applyAlignment="1">
      <alignment horizontal="right"/>
    </xf>
    <xf numFmtId="1" fontId="4" fillId="5" borderId="44" xfId="0" applyNumberFormat="1" applyFont="1" applyFill="1" applyBorder="1" applyAlignment="1">
      <alignment horizontal="right"/>
    </xf>
    <xf numFmtId="1" fontId="4" fillId="5" borderId="149" xfId="2" applyNumberFormat="1" applyFont="1" applyFill="1" applyBorder="1" applyAlignment="1">
      <alignment horizontal="right"/>
    </xf>
    <xf numFmtId="1" fontId="4" fillId="5" borderId="65" xfId="0" applyNumberFormat="1" applyFont="1" applyFill="1" applyBorder="1" applyAlignment="1">
      <alignment horizontal="right"/>
    </xf>
    <xf numFmtId="1" fontId="4" fillId="0" borderId="36" xfId="0" applyNumberFormat="1" applyFont="1" applyBorder="1" applyAlignment="1">
      <alignment wrapText="1"/>
    </xf>
    <xf numFmtId="1" fontId="4" fillId="0" borderId="37" xfId="0" applyNumberFormat="1" applyFont="1" applyBorder="1" applyAlignment="1">
      <alignment wrapText="1"/>
    </xf>
    <xf numFmtId="1" fontId="4" fillId="0" borderId="42" xfId="0" applyNumberFormat="1" applyFont="1" applyBorder="1" applyAlignment="1">
      <alignment wrapText="1"/>
    </xf>
    <xf numFmtId="1" fontId="4" fillId="0" borderId="44" xfId="0" applyNumberFormat="1" applyFont="1" applyBorder="1" applyAlignment="1">
      <alignment wrapText="1"/>
    </xf>
    <xf numFmtId="1" fontId="4" fillId="0" borderId="45" xfId="0" applyNumberFormat="1" applyFont="1" applyBorder="1" applyAlignment="1">
      <alignment wrapText="1"/>
    </xf>
    <xf numFmtId="1" fontId="4" fillId="0" borderId="49" xfId="0" applyNumberFormat="1" applyFont="1" applyBorder="1" applyAlignment="1">
      <alignment wrapText="1"/>
    </xf>
    <xf numFmtId="1" fontId="4" fillId="0" borderId="16" xfId="0" applyNumberFormat="1" applyFont="1" applyBorder="1" applyAlignment="1">
      <alignment wrapText="1"/>
    </xf>
    <xf numFmtId="1" fontId="4" fillId="0" borderId="62" xfId="0" applyNumberFormat="1" applyFont="1" applyBorder="1" applyAlignment="1">
      <alignment wrapText="1"/>
    </xf>
    <xf numFmtId="1" fontId="4" fillId="5" borderId="23" xfId="2" applyNumberFormat="1" applyFont="1" applyFill="1" applyBorder="1" applyAlignment="1" applyProtection="1">
      <alignment horizontal="right"/>
      <protection locked="0"/>
    </xf>
    <xf numFmtId="1" fontId="4" fillId="5" borderId="24" xfId="2" applyNumberFormat="1" applyFont="1" applyFill="1" applyBorder="1" applyAlignment="1" applyProtection="1">
      <alignment horizontal="right"/>
      <protection locked="0"/>
    </xf>
    <xf numFmtId="1" fontId="4" fillId="5" borderId="212" xfId="2" applyNumberFormat="1" applyFont="1" applyFill="1" applyBorder="1" applyAlignment="1">
      <alignment horizontal="right"/>
    </xf>
    <xf numFmtId="1" fontId="4" fillId="5" borderId="25" xfId="2" applyNumberFormat="1" applyFont="1" applyFill="1" applyBorder="1" applyAlignment="1">
      <alignment horizontal="right"/>
    </xf>
    <xf numFmtId="1" fontId="4" fillId="5" borderId="41" xfId="2" applyNumberFormat="1" applyFont="1" applyFill="1" applyBorder="1" applyAlignment="1" applyProtection="1">
      <alignment horizontal="right"/>
      <protection locked="0"/>
    </xf>
    <xf numFmtId="1" fontId="4" fillId="5" borderId="43" xfId="2" applyNumberFormat="1" applyFont="1" applyFill="1" applyBorder="1" applyAlignment="1" applyProtection="1">
      <alignment horizontal="right"/>
      <protection locked="0"/>
    </xf>
    <xf numFmtId="1" fontId="4" fillId="5" borderId="213" xfId="2" applyNumberFormat="1" applyFont="1" applyFill="1" applyBorder="1" applyAlignment="1">
      <alignment horizontal="right"/>
    </xf>
    <xf numFmtId="1" fontId="4" fillId="5" borderId="36" xfId="2" applyNumberFormat="1" applyFont="1" applyFill="1" applyBorder="1" applyAlignment="1">
      <alignment horizontal="right"/>
    </xf>
    <xf numFmtId="1" fontId="4" fillId="12" borderId="117" xfId="2" applyNumberFormat="1" applyFont="1" applyFill="1" applyBorder="1" applyAlignment="1" applyProtection="1">
      <alignment horizontal="right"/>
      <protection locked="0"/>
    </xf>
    <xf numFmtId="1" fontId="4" fillId="5" borderId="20" xfId="2" applyNumberFormat="1" applyFont="1" applyFill="1" applyBorder="1" applyAlignment="1" applyProtection="1">
      <alignment horizontal="right"/>
      <protection locked="0"/>
    </xf>
    <xf numFmtId="1" fontId="4" fillId="5" borderId="22" xfId="2" applyNumberFormat="1" applyFont="1" applyFill="1" applyBorder="1" applyAlignment="1" applyProtection="1">
      <alignment horizontal="right"/>
      <protection locked="0"/>
    </xf>
    <xf numFmtId="1" fontId="4" fillId="5" borderId="133" xfId="2" applyNumberFormat="1" applyFont="1" applyFill="1" applyBorder="1" applyAlignment="1">
      <alignment horizontal="right"/>
    </xf>
    <xf numFmtId="1" fontId="4" fillId="5" borderId="32" xfId="2" applyNumberFormat="1" applyFont="1" applyFill="1" applyBorder="1" applyAlignment="1">
      <alignment horizontal="right"/>
    </xf>
    <xf numFmtId="1" fontId="4" fillId="12" borderId="142" xfId="2" applyNumberFormat="1" applyFont="1" applyFill="1" applyBorder="1" applyAlignment="1" applyProtection="1">
      <alignment horizontal="right"/>
      <protection locked="0"/>
    </xf>
    <xf numFmtId="1" fontId="4" fillId="0" borderId="152" xfId="2" applyNumberFormat="1" applyFont="1" applyBorder="1" applyAlignment="1">
      <alignment horizontal="right"/>
    </xf>
    <xf numFmtId="1" fontId="5" fillId="0" borderId="3" xfId="2" applyNumberFormat="1" applyFont="1" applyBorder="1" applyProtection="1">
      <protection hidden="1"/>
    </xf>
    <xf numFmtId="1" fontId="4" fillId="0" borderId="25" xfId="11" applyNumberFormat="1" applyFont="1" applyBorder="1" applyAlignment="1" applyProtection="1">
      <alignment horizontal="left" vertical="center" wrapText="1"/>
      <protection hidden="1"/>
    </xf>
    <xf numFmtId="1" fontId="4" fillId="0" borderId="25" xfId="11" applyNumberFormat="1" applyFont="1" applyBorder="1" applyAlignment="1" applyProtection="1">
      <alignment horizontal="right" wrapText="1"/>
      <protection hidden="1"/>
    </xf>
    <xf numFmtId="1" fontId="4" fillId="0" borderId="26" xfId="12" applyNumberFormat="1" applyFont="1" applyFill="1" applyBorder="1" applyAlignment="1" applyProtection="1">
      <alignment horizontal="right"/>
    </xf>
    <xf numFmtId="1" fontId="4" fillId="0" borderId="24" xfId="12" applyNumberFormat="1" applyFont="1" applyFill="1" applyBorder="1" applyAlignment="1" applyProtection="1">
      <alignment horizontal="right"/>
    </xf>
    <xf numFmtId="1" fontId="4" fillId="12" borderId="23" xfId="12" applyNumberFormat="1" applyFont="1" applyFill="1" applyBorder="1" applyAlignment="1" applyProtection="1">
      <alignment horizontal="right"/>
      <protection locked="0"/>
    </xf>
    <xf numFmtId="1" fontId="4" fillId="12" borderId="26" xfId="12" applyNumberFormat="1" applyFont="1" applyFill="1" applyBorder="1" applyAlignment="1" applyProtection="1">
      <alignment horizontal="right"/>
      <protection locked="0"/>
    </xf>
    <xf numFmtId="1" fontId="4" fillId="12" borderId="30" xfId="12" applyNumberFormat="1" applyFont="1" applyFill="1" applyBorder="1" applyAlignment="1" applyProtection="1">
      <alignment horizontal="right"/>
      <protection locked="0"/>
    </xf>
    <xf numFmtId="1" fontId="4" fillId="0" borderId="65" xfId="11" applyNumberFormat="1" applyFont="1" applyBorder="1" applyAlignment="1" applyProtection="1">
      <alignment horizontal="left" vertical="center" wrapText="1"/>
      <protection hidden="1"/>
    </xf>
    <xf numFmtId="1" fontId="4" fillId="0" borderId="65" xfId="11" applyNumberFormat="1" applyFont="1" applyBorder="1" applyAlignment="1" applyProtection="1">
      <alignment horizontal="right" wrapText="1"/>
      <protection hidden="1"/>
    </xf>
    <xf numFmtId="1" fontId="4" fillId="0" borderId="66" xfId="12" applyNumberFormat="1" applyFont="1" applyFill="1" applyBorder="1" applyAlignment="1" applyProtection="1">
      <alignment horizontal="right"/>
    </xf>
    <xf numFmtId="1" fontId="4" fillId="0" borderId="70" xfId="12" applyNumberFormat="1" applyFont="1" applyFill="1" applyBorder="1" applyAlignment="1" applyProtection="1">
      <alignment horizontal="right"/>
    </xf>
    <xf numFmtId="1" fontId="4" fillId="12" borderId="68" xfId="12" applyNumberFormat="1" applyFont="1" applyFill="1" applyBorder="1" applyAlignment="1" applyProtection="1">
      <alignment horizontal="right"/>
      <protection locked="0"/>
    </xf>
    <xf numFmtId="1" fontId="4" fillId="12" borderId="66" xfId="12" applyNumberFormat="1" applyFont="1" applyFill="1" applyBorder="1" applyAlignment="1" applyProtection="1">
      <alignment horizontal="right"/>
      <protection locked="0"/>
    </xf>
    <xf numFmtId="1" fontId="4" fillId="12" borderId="69" xfId="12" applyNumberFormat="1" applyFont="1" applyFill="1" applyBorder="1" applyAlignment="1" applyProtection="1">
      <alignment horizontal="right"/>
      <protection locked="0"/>
    </xf>
    <xf numFmtId="1" fontId="5" fillId="0" borderId="0" xfId="0" applyNumberFormat="1" applyFont="1"/>
    <xf numFmtId="1" fontId="23" fillId="0" borderId="0" xfId="0" applyNumberFormat="1" applyFont="1"/>
    <xf numFmtId="1" fontId="4" fillId="3" borderId="0" xfId="12" applyNumberFormat="1" applyFont="1" applyFill="1" applyBorder="1" applyAlignment="1" applyProtection="1">
      <alignment horizontal="left"/>
    </xf>
    <xf numFmtId="1" fontId="2" fillId="3" borderId="0" xfId="0" applyNumberFormat="1" applyFont="1" applyFill="1" applyProtection="1">
      <protection hidden="1"/>
    </xf>
    <xf numFmtId="1" fontId="4" fillId="0" borderId="94" xfId="0" applyNumberFormat="1" applyFont="1" applyBorder="1" applyAlignment="1">
      <alignment horizontal="center" vertical="center"/>
    </xf>
    <xf numFmtId="1" fontId="4" fillId="0" borderId="202" xfId="0" applyNumberFormat="1" applyFont="1" applyBorder="1" applyAlignment="1">
      <alignment horizontal="right"/>
    </xf>
    <xf numFmtId="1" fontId="4" fillId="12" borderId="122" xfId="12" applyNumberFormat="1" applyFont="1" applyFill="1" applyBorder="1" applyAlignment="1" applyProtection="1">
      <alignment horizontal="right"/>
      <protection locked="0"/>
    </xf>
    <xf numFmtId="1" fontId="4" fillId="12" borderId="94" xfId="12" applyNumberFormat="1" applyFont="1" applyFill="1" applyBorder="1" applyAlignment="1" applyProtection="1">
      <alignment horizontal="right"/>
      <protection locked="0"/>
    </xf>
    <xf numFmtId="1" fontId="4" fillId="12" borderId="90" xfId="12" applyNumberFormat="1" applyFont="1" applyFill="1" applyBorder="1" applyAlignment="1" applyProtection="1">
      <alignment horizontal="right"/>
      <protection locked="0"/>
    </xf>
    <xf numFmtId="1" fontId="5" fillId="0" borderId="0" xfId="0" applyNumberFormat="1" applyFont="1" applyAlignment="1">
      <alignment horizontal="left" vertical="center" wrapText="1"/>
    </xf>
    <xf numFmtId="1" fontId="4" fillId="0" borderId="0" xfId="0" applyNumberFormat="1" applyFont="1" applyAlignment="1">
      <alignment horizontal="left" vertical="center" wrapText="1"/>
    </xf>
    <xf numFmtId="1" fontId="4" fillId="0" borderId="218" xfId="2" applyNumberFormat="1" applyFont="1" applyBorder="1" applyAlignment="1" applyProtection="1">
      <alignment horizontal="center" vertical="center" wrapText="1"/>
      <protection hidden="1"/>
    </xf>
    <xf numFmtId="1" fontId="4" fillId="0" borderId="208" xfId="0" applyNumberFormat="1" applyFont="1" applyBorder="1" applyAlignment="1">
      <alignment horizontal="center" vertical="center"/>
    </xf>
    <xf numFmtId="1" fontId="4" fillId="0" borderId="209" xfId="0" applyNumberFormat="1" applyFont="1" applyBorder="1" applyAlignment="1">
      <alignment horizontal="center" vertical="center"/>
    </xf>
    <xf numFmtId="1" fontId="4" fillId="0" borderId="218" xfId="0" applyNumberFormat="1" applyFont="1" applyBorder="1" applyAlignment="1">
      <alignment horizontal="center" vertical="center"/>
    </xf>
    <xf numFmtId="1" fontId="4" fillId="0" borderId="218" xfId="6" applyNumberFormat="1" applyFont="1" applyBorder="1" applyAlignment="1">
      <alignment horizontal="center" vertical="center" wrapText="1"/>
    </xf>
    <xf numFmtId="1" fontId="4" fillId="0" borderId="209" xfId="6" applyNumberFormat="1" applyFont="1" applyBorder="1" applyAlignment="1">
      <alignment horizontal="center" vertical="center" wrapText="1"/>
    </xf>
    <xf numFmtId="1" fontId="4" fillId="0" borderId="218" xfId="3" applyNumberFormat="1" applyFont="1" applyBorder="1" applyAlignment="1" applyProtection="1">
      <alignment horizontal="center" vertical="center" wrapText="1"/>
      <protection hidden="1"/>
    </xf>
    <xf numFmtId="1" fontId="4" fillId="0" borderId="219" xfId="3" applyNumberFormat="1" applyFont="1" applyBorder="1" applyAlignment="1" applyProtection="1">
      <alignment horizontal="center" vertical="center" wrapText="1"/>
      <protection hidden="1"/>
    </xf>
    <xf numFmtId="1" fontId="4" fillId="3" borderId="122" xfId="0" applyNumberFormat="1" applyFont="1" applyFill="1" applyBorder="1" applyAlignment="1">
      <alignment horizontal="center" vertical="center"/>
    </xf>
    <xf numFmtId="1" fontId="4" fillId="12" borderId="89" xfId="2" applyNumberFormat="1" applyFont="1" applyFill="1" applyBorder="1" applyAlignment="1" applyProtection="1">
      <alignment horizontal="right"/>
      <protection locked="0"/>
    </xf>
    <xf numFmtId="1" fontId="4" fillId="5" borderId="137" xfId="2" applyNumberFormat="1" applyFont="1" applyFill="1" applyBorder="1" applyAlignment="1">
      <alignment horizontal="right"/>
    </xf>
    <xf numFmtId="1" fontId="4" fillId="5" borderId="29" xfId="2" applyNumberFormat="1" applyFont="1" applyFill="1" applyBorder="1" applyAlignment="1">
      <alignment horizontal="right"/>
    </xf>
    <xf numFmtId="1" fontId="4" fillId="0" borderId="25" xfId="13" applyNumberFormat="1" applyFont="1" applyBorder="1" applyAlignment="1" applyProtection="1">
      <alignment vertical="center" wrapText="1"/>
      <protection hidden="1"/>
    </xf>
    <xf numFmtId="1" fontId="4" fillId="12" borderId="137" xfId="2" applyNumberFormat="1" applyFont="1" applyFill="1" applyBorder="1" applyAlignment="1" applyProtection="1">
      <alignment horizontal="right"/>
      <protection locked="0"/>
    </xf>
    <xf numFmtId="1" fontId="4" fillId="12" borderId="29" xfId="2" applyNumberFormat="1" applyFont="1" applyFill="1" applyBorder="1" applyAlignment="1" applyProtection="1">
      <alignment horizontal="right"/>
      <protection locked="0"/>
    </xf>
    <xf numFmtId="1" fontId="4" fillId="0" borderId="65" xfId="13" applyNumberFormat="1" applyFont="1" applyBorder="1" applyAlignment="1" applyProtection="1">
      <alignment vertical="center" wrapText="1"/>
      <protection hidden="1"/>
    </xf>
    <xf numFmtId="1" fontId="4" fillId="12" borderId="40" xfId="2" applyNumberFormat="1" applyFont="1" applyFill="1" applyBorder="1" applyAlignment="1" applyProtection="1">
      <alignment horizontal="right"/>
      <protection locked="0"/>
    </xf>
    <xf numFmtId="1" fontId="4" fillId="12" borderId="67" xfId="2" applyNumberFormat="1" applyFont="1" applyFill="1" applyBorder="1" applyAlignment="1" applyProtection="1">
      <alignment horizontal="right"/>
      <protection locked="0"/>
    </xf>
    <xf numFmtId="1" fontId="4" fillId="0" borderId="202" xfId="13" applyNumberFormat="1" applyFont="1" applyBorder="1" applyAlignment="1" applyProtection="1">
      <alignment vertical="center" wrapText="1"/>
      <protection hidden="1"/>
    </xf>
    <xf numFmtId="1" fontId="4" fillId="12" borderId="135" xfId="2" applyNumberFormat="1" applyFont="1" applyFill="1" applyBorder="1" applyAlignment="1" applyProtection="1">
      <alignment horizontal="right"/>
      <protection locked="0"/>
    </xf>
    <xf numFmtId="1" fontId="4" fillId="12" borderId="19" xfId="2" applyNumberFormat="1" applyFont="1" applyFill="1" applyBorder="1" applyAlignment="1" applyProtection="1">
      <alignment horizontal="right"/>
      <protection locked="0"/>
    </xf>
    <xf numFmtId="1" fontId="4" fillId="0" borderId="42" xfId="0" applyNumberFormat="1" applyFont="1" applyBorder="1" applyAlignment="1">
      <alignment horizontal="left" vertical="center" wrapText="1"/>
    </xf>
    <xf numFmtId="1" fontId="4" fillId="12" borderId="60" xfId="2" applyNumberFormat="1" applyFont="1" applyFill="1" applyBorder="1" applyAlignment="1" applyProtection="1">
      <alignment horizontal="right"/>
      <protection locked="0"/>
    </xf>
    <xf numFmtId="1" fontId="4" fillId="12" borderId="71" xfId="2" applyNumberFormat="1" applyFont="1" applyFill="1" applyBorder="1" applyAlignment="1" applyProtection="1">
      <alignment horizontal="right"/>
      <protection locked="0"/>
    </xf>
    <xf numFmtId="1" fontId="4" fillId="0" borderId="36" xfId="13" applyNumberFormat="1" applyFont="1" applyBorder="1" applyAlignment="1" applyProtection="1">
      <alignment vertical="center" wrapText="1"/>
      <protection hidden="1"/>
    </xf>
    <xf numFmtId="1" fontId="4" fillId="12" borderId="147" xfId="2" applyNumberFormat="1" applyFont="1" applyFill="1" applyBorder="1" applyAlignment="1" applyProtection="1">
      <alignment horizontal="right"/>
      <protection locked="0"/>
    </xf>
    <xf numFmtId="1" fontId="4" fillId="12" borderId="57" xfId="2" applyNumberFormat="1" applyFont="1" applyFill="1" applyBorder="1" applyAlignment="1" applyProtection="1">
      <alignment horizontal="right"/>
      <protection locked="0"/>
    </xf>
    <xf numFmtId="1" fontId="4" fillId="0" borderId="44" xfId="13" applyNumberFormat="1" applyFont="1" applyBorder="1" applyAlignment="1" applyProtection="1">
      <alignment vertical="center" wrapText="1"/>
      <protection hidden="1"/>
    </xf>
    <xf numFmtId="1" fontId="4" fillId="5" borderId="147" xfId="2" applyNumberFormat="1" applyFont="1" applyFill="1" applyBorder="1" applyAlignment="1">
      <alignment horizontal="right"/>
    </xf>
    <xf numFmtId="1" fontId="4" fillId="5" borderId="57" xfId="2" applyNumberFormat="1" applyFont="1" applyFill="1" applyBorder="1" applyAlignment="1">
      <alignment horizontal="right"/>
    </xf>
    <xf numFmtId="1" fontId="4" fillId="12" borderId="153" xfId="2" applyNumberFormat="1" applyFont="1" applyFill="1" applyBorder="1" applyAlignment="1" applyProtection="1">
      <alignment horizontal="right"/>
      <protection locked="0"/>
    </xf>
    <xf numFmtId="1" fontId="4" fillId="12" borderId="220" xfId="2" applyNumberFormat="1" applyFont="1" applyFill="1" applyBorder="1" applyAlignment="1" applyProtection="1">
      <alignment horizontal="right"/>
      <protection locked="0"/>
    </xf>
    <xf numFmtId="1" fontId="4" fillId="0" borderId="138" xfId="0" applyNumberFormat="1" applyFont="1" applyBorder="1" applyAlignment="1">
      <alignment wrapText="1"/>
    </xf>
    <xf numFmtId="1" fontId="4" fillId="0" borderId="55" xfId="0" applyNumberFormat="1" applyFont="1" applyBorder="1" applyAlignment="1">
      <alignment wrapText="1"/>
    </xf>
    <xf numFmtId="1" fontId="4" fillId="0" borderId="69" xfId="0" applyNumberFormat="1" applyFont="1" applyBorder="1" applyAlignment="1">
      <alignment wrapText="1"/>
    </xf>
    <xf numFmtId="1" fontId="4" fillId="0" borderId="25" xfId="0" applyNumberFormat="1" applyFont="1" applyBorder="1" applyAlignment="1">
      <alignment vertical="center" wrapText="1"/>
    </xf>
    <xf numFmtId="1" fontId="4" fillId="12" borderId="38" xfId="2" applyNumberFormat="1" applyFont="1" applyFill="1" applyBorder="1" applyAlignment="1" applyProtection="1">
      <alignment horizontal="right"/>
      <protection locked="0"/>
    </xf>
    <xf numFmtId="1" fontId="4" fillId="19" borderId="36" xfId="0" applyNumberFormat="1" applyFont="1" applyFill="1" applyBorder="1" applyAlignment="1">
      <alignment horizontal="right"/>
    </xf>
    <xf numFmtId="1" fontId="4" fillId="0" borderId="44" xfId="0" applyNumberFormat="1" applyFont="1" applyBorder="1" applyAlignment="1">
      <alignment vertical="center" wrapText="1"/>
    </xf>
    <xf numFmtId="1" fontId="4" fillId="5" borderId="141" xfId="2" applyNumberFormat="1" applyFont="1" applyFill="1" applyBorder="1" applyAlignment="1">
      <alignment horizontal="right"/>
    </xf>
    <xf numFmtId="1" fontId="4" fillId="0" borderId="118" xfId="0" applyNumberFormat="1" applyFont="1" applyBorder="1" applyAlignment="1">
      <alignment vertical="center" wrapText="1"/>
    </xf>
    <xf numFmtId="1" fontId="4" fillId="0" borderId="49" xfId="0" applyNumberFormat="1" applyFont="1" applyBorder="1" applyAlignment="1">
      <alignment vertical="center" wrapText="1"/>
    </xf>
    <xf numFmtId="1" fontId="4" fillId="0" borderId="65" xfId="0" applyNumberFormat="1" applyFont="1" applyBorder="1" applyAlignment="1">
      <alignment vertical="center" wrapText="1"/>
    </xf>
    <xf numFmtId="1" fontId="4" fillId="0" borderId="65" xfId="0" applyNumberFormat="1" applyFont="1" applyBorder="1" applyAlignment="1">
      <alignment wrapText="1"/>
    </xf>
    <xf numFmtId="1" fontId="4" fillId="0" borderId="66" xfId="0" applyNumberFormat="1" applyFont="1" applyBorder="1" applyAlignment="1">
      <alignment wrapText="1"/>
    </xf>
    <xf numFmtId="1" fontId="4" fillId="0" borderId="30" xfId="13" applyNumberFormat="1" applyFont="1" applyBorder="1" applyAlignment="1" applyProtection="1">
      <alignment vertical="center" wrapText="1"/>
      <protection hidden="1"/>
    </xf>
    <xf numFmtId="1" fontId="4" fillId="5" borderId="40" xfId="2" applyNumberFormat="1" applyFont="1" applyFill="1" applyBorder="1" applyAlignment="1">
      <alignment horizontal="right"/>
    </xf>
    <xf numFmtId="1" fontId="4" fillId="0" borderId="42" xfId="13" applyNumberFormat="1" applyFont="1" applyBorder="1" applyAlignment="1" applyProtection="1">
      <alignment vertical="center" wrapText="1"/>
      <protection hidden="1"/>
    </xf>
    <xf numFmtId="1" fontId="4" fillId="5" borderId="44" xfId="2" applyNumberFormat="1" applyFont="1" applyFill="1" applyBorder="1" applyAlignment="1">
      <alignment horizontal="right"/>
    </xf>
    <xf numFmtId="1" fontId="4" fillId="0" borderId="13" xfId="13" applyNumberFormat="1" applyFont="1" applyBorder="1" applyAlignment="1" applyProtection="1">
      <alignment vertical="center" wrapText="1"/>
      <protection hidden="1"/>
    </xf>
    <xf numFmtId="1" fontId="4" fillId="5" borderId="67" xfId="2" applyNumberFormat="1" applyFont="1" applyFill="1" applyBorder="1" applyAlignment="1">
      <alignment horizontal="right"/>
    </xf>
    <xf numFmtId="1" fontId="4" fillId="5" borderId="65" xfId="2" applyNumberFormat="1" applyFont="1" applyFill="1" applyBorder="1" applyAlignment="1">
      <alignment horizontal="right"/>
    </xf>
    <xf numFmtId="1" fontId="5" fillId="0" borderId="0" xfId="2" applyNumberFormat="1" applyFont="1" applyProtection="1">
      <protection hidden="1"/>
    </xf>
    <xf numFmtId="1" fontId="4" fillId="12" borderId="24" xfId="12" applyNumberFormat="1" applyFont="1" applyFill="1" applyBorder="1" applyAlignment="1" applyProtection="1">
      <alignment horizontal="right"/>
      <protection locked="0"/>
    </xf>
    <xf numFmtId="1" fontId="4" fillId="12" borderId="70" xfId="12" applyNumberFormat="1" applyFont="1" applyFill="1" applyBorder="1" applyAlignment="1" applyProtection="1">
      <alignment horizontal="right"/>
      <protection locked="0"/>
    </xf>
    <xf numFmtId="1" fontId="4" fillId="5" borderId="122" xfId="2" applyNumberFormat="1" applyFont="1" applyFill="1" applyBorder="1"/>
    <xf numFmtId="1" fontId="4" fillId="0" borderId="20" xfId="2" applyNumberFormat="1" applyFont="1" applyBorder="1" applyAlignment="1">
      <alignment horizontal="right"/>
    </xf>
    <xf numFmtId="1" fontId="4" fillId="0" borderId="54" xfId="2" applyNumberFormat="1" applyFont="1" applyBorder="1" applyAlignment="1">
      <alignment horizontal="right"/>
    </xf>
    <xf numFmtId="1" fontId="4" fillId="0" borderId="23" xfId="2" applyNumberFormat="1" applyFont="1" applyBorder="1" applyAlignment="1">
      <alignment horizontal="right"/>
    </xf>
    <xf numFmtId="1" fontId="4" fillId="0" borderId="48" xfId="2" applyNumberFormat="1" applyFont="1" applyBorder="1" applyAlignment="1">
      <alignment horizontal="right"/>
    </xf>
    <xf numFmtId="1" fontId="4" fillId="0" borderId="122" xfId="11" applyNumberFormat="1" applyFont="1" applyBorder="1" applyAlignment="1" applyProtection="1">
      <alignment horizontal="right" wrapText="1"/>
      <protection hidden="1"/>
    </xf>
    <xf numFmtId="1" fontId="7" fillId="3" borderId="33" xfId="0" applyNumberFormat="1" applyFont="1" applyFill="1" applyBorder="1" applyAlignment="1">
      <alignment horizontal="center" vertical="center" wrapText="1"/>
    </xf>
    <xf numFmtId="1" fontId="4" fillId="3" borderId="202" xfId="0" applyNumberFormat="1" applyFont="1" applyFill="1" applyBorder="1" applyAlignment="1">
      <alignment horizontal="center" vertical="center"/>
    </xf>
    <xf numFmtId="1" fontId="3" fillId="0" borderId="0" xfId="14" applyNumberFormat="1" applyFont="1" applyAlignment="1" applyProtection="1">
      <alignment vertical="center" wrapText="1"/>
      <protection hidden="1"/>
    </xf>
    <xf numFmtId="1" fontId="5" fillId="0" borderId="0" xfId="14" applyNumberFormat="1" applyFont="1" applyAlignment="1" applyProtection="1">
      <alignment vertical="center" wrapText="1"/>
      <protection hidden="1"/>
    </xf>
    <xf numFmtId="1" fontId="2" fillId="0" borderId="200" xfId="0" applyNumberFormat="1" applyFont="1" applyBorder="1" applyAlignment="1">
      <alignment horizontal="left" vertical="center"/>
    </xf>
    <xf numFmtId="1" fontId="4" fillId="0" borderId="25" xfId="0" applyNumberFormat="1" applyFont="1" applyBorder="1" applyAlignment="1">
      <alignment horizontal="right" wrapText="1"/>
    </xf>
    <xf numFmtId="1" fontId="27" fillId="2" borderId="0" xfId="0" applyNumberFormat="1" applyFont="1" applyFill="1"/>
    <xf numFmtId="1" fontId="4" fillId="0" borderId="44" xfId="0" applyNumberFormat="1" applyFont="1" applyBorder="1" applyAlignment="1">
      <alignment horizontal="right" wrapText="1"/>
    </xf>
    <xf numFmtId="1" fontId="4" fillId="0" borderId="32" xfId="0" applyNumberFormat="1" applyFont="1" applyBorder="1" applyAlignment="1">
      <alignment horizontal="right" wrapText="1"/>
    </xf>
    <xf numFmtId="0" fontId="7" fillId="0" borderId="200" xfId="0" applyFont="1" applyBorder="1" applyAlignment="1">
      <alignment horizontal="center" vertical="center"/>
    </xf>
    <xf numFmtId="0" fontId="7" fillId="0" borderId="122" xfId="0" applyFont="1" applyBorder="1" applyAlignment="1">
      <alignment horizontal="center" vertical="center"/>
    </xf>
    <xf numFmtId="0" fontId="7" fillId="0" borderId="15" xfId="0" applyFont="1" applyBorder="1" applyAlignment="1">
      <alignment horizontal="center" vertical="center"/>
    </xf>
    <xf numFmtId="0" fontId="7" fillId="0" borderId="203" xfId="0" applyFont="1" applyBorder="1" applyAlignment="1">
      <alignment horizontal="center" vertical="center"/>
    </xf>
    <xf numFmtId="0" fontId="7" fillId="0" borderId="202" xfId="0" applyFont="1" applyBorder="1" applyAlignment="1">
      <alignment horizontal="center" vertical="center"/>
    </xf>
    <xf numFmtId="0" fontId="7" fillId="0" borderId="32" xfId="0" applyFont="1" applyBorder="1" applyAlignment="1">
      <alignment horizontal="right" wrapText="1"/>
    </xf>
    <xf numFmtId="0" fontId="7" fillId="11" borderId="33" xfId="0" applyFont="1" applyFill="1" applyBorder="1" applyAlignment="1" applyProtection="1">
      <alignment horizontal="right"/>
      <protection locked="0"/>
    </xf>
    <xf numFmtId="0" fontId="7" fillId="11" borderId="34" xfId="0" applyFont="1" applyFill="1" applyBorder="1" applyAlignment="1" applyProtection="1">
      <alignment horizontal="right"/>
      <protection locked="0"/>
    </xf>
    <xf numFmtId="0" fontId="7" fillId="11" borderId="13" xfId="0" applyFont="1" applyFill="1" applyBorder="1" applyAlignment="1" applyProtection="1">
      <alignment horizontal="right"/>
      <protection locked="0"/>
    </xf>
    <xf numFmtId="0" fontId="7" fillId="0" borderId="44" xfId="0" applyFont="1" applyBorder="1" applyAlignment="1">
      <alignment horizontal="right" wrapText="1"/>
    </xf>
    <xf numFmtId="0" fontId="7" fillId="11" borderId="45" xfId="0" applyFont="1" applyFill="1" applyBorder="1" applyAlignment="1" applyProtection="1">
      <alignment horizontal="right"/>
      <protection locked="0"/>
    </xf>
    <xf numFmtId="0" fontId="7" fillId="11" borderId="46" xfId="0" applyFont="1" applyFill="1" applyBorder="1" applyAlignment="1" applyProtection="1">
      <alignment horizontal="right"/>
      <protection locked="0"/>
    </xf>
    <xf numFmtId="0" fontId="7" fillId="11" borderId="49" xfId="0" applyFont="1" applyFill="1" applyBorder="1" applyAlignment="1" applyProtection="1">
      <alignment horizontal="right"/>
      <protection locked="0"/>
    </xf>
    <xf numFmtId="0" fontId="7" fillId="0" borderId="25" xfId="0" applyFont="1" applyBorder="1" applyAlignment="1">
      <alignment horizontal="right" wrapText="1"/>
    </xf>
    <xf numFmtId="0" fontId="7" fillId="11" borderId="26" xfId="0" applyFont="1" applyFill="1" applyBorder="1" applyAlignment="1" applyProtection="1">
      <alignment horizontal="right"/>
      <protection locked="0"/>
    </xf>
    <xf numFmtId="0" fontId="7" fillId="11" borderId="27" xfId="0" applyFont="1" applyFill="1" applyBorder="1" applyAlignment="1" applyProtection="1">
      <alignment horizontal="right"/>
      <protection locked="0"/>
    </xf>
    <xf numFmtId="0" fontId="7" fillId="11" borderId="24" xfId="0" applyFont="1" applyFill="1" applyBorder="1" applyAlignment="1" applyProtection="1">
      <alignment horizontal="right"/>
      <protection locked="0"/>
    </xf>
    <xf numFmtId="0" fontId="7" fillId="11" borderId="50" xfId="0" applyFont="1" applyFill="1" applyBorder="1" applyAlignment="1" applyProtection="1">
      <alignment horizontal="right"/>
      <protection locked="0"/>
    </xf>
    <xf numFmtId="0" fontId="7" fillId="11" borderId="22" xfId="0" applyFont="1" applyFill="1" applyBorder="1" applyAlignment="1" applyProtection="1">
      <alignment horizontal="right"/>
      <protection locked="0"/>
    </xf>
    <xf numFmtId="1" fontId="4" fillId="3" borderId="25" xfId="0" applyNumberFormat="1" applyFont="1" applyFill="1" applyBorder="1" applyAlignment="1">
      <alignment vertical="center" wrapText="1"/>
    </xf>
    <xf numFmtId="1" fontId="4" fillId="3" borderId="44" xfId="0" applyNumberFormat="1" applyFont="1" applyFill="1" applyBorder="1" applyAlignment="1">
      <alignment vertical="center" wrapText="1"/>
    </xf>
    <xf numFmtId="1" fontId="4" fillId="3" borderId="49" xfId="0" applyNumberFormat="1" applyFont="1" applyFill="1" applyBorder="1" applyAlignment="1">
      <alignment vertical="center" wrapText="1"/>
    </xf>
    <xf numFmtId="1" fontId="4" fillId="3" borderId="32" xfId="0" applyNumberFormat="1" applyFont="1" applyFill="1" applyBorder="1" applyAlignment="1">
      <alignment vertical="center" wrapText="1"/>
    </xf>
    <xf numFmtId="1" fontId="2" fillId="3" borderId="0" xfId="14" applyNumberFormat="1" applyFont="1" applyFill="1" applyAlignment="1" applyProtection="1">
      <alignment vertical="center" wrapText="1"/>
      <protection hidden="1"/>
    </xf>
    <xf numFmtId="1" fontId="4" fillId="0" borderId="122" xfId="2" applyNumberFormat="1" applyFont="1" applyBorder="1" applyAlignment="1" applyProtection="1">
      <alignment horizontal="center" vertical="center" wrapText="1"/>
      <protection hidden="1"/>
    </xf>
    <xf numFmtId="1" fontId="4" fillId="0" borderId="202" xfId="2" applyNumberFormat="1" applyFont="1" applyBorder="1" applyAlignment="1" applyProtection="1">
      <alignment horizontal="center" vertical="center" wrapText="1"/>
      <protection hidden="1"/>
    </xf>
    <xf numFmtId="1" fontId="4" fillId="0" borderId="204" xfId="2" applyNumberFormat="1" applyFont="1" applyBorder="1" applyAlignment="1" applyProtection="1">
      <alignment horizontal="center" vertical="center" wrapText="1"/>
      <protection hidden="1"/>
    </xf>
    <xf numFmtId="1" fontId="4" fillId="0" borderId="200" xfId="2" applyNumberFormat="1" applyFont="1" applyBorder="1" applyAlignment="1" applyProtection="1">
      <alignment horizontal="right" wrapText="1"/>
      <protection hidden="1"/>
    </xf>
    <xf numFmtId="1" fontId="4" fillId="0" borderId="122" xfId="2" applyNumberFormat="1" applyFont="1" applyBorder="1" applyAlignment="1" applyProtection="1">
      <alignment horizontal="right" wrapText="1"/>
      <protection hidden="1"/>
    </xf>
    <xf numFmtId="1" fontId="4" fillId="0" borderId="202" xfId="2" applyNumberFormat="1" applyFont="1" applyBorder="1" applyAlignment="1" applyProtection="1">
      <alignment horizontal="right" wrapText="1"/>
      <protection hidden="1"/>
    </xf>
    <xf numFmtId="1" fontId="4" fillId="4" borderId="122" xfId="15" applyNumberFormat="1" applyFont="1" applyFill="1" applyBorder="1" applyAlignment="1" applyProtection="1">
      <alignment horizontal="right"/>
      <protection locked="0"/>
    </xf>
    <xf numFmtId="1" fontId="4" fillId="4" borderId="202" xfId="15" applyNumberFormat="1" applyFont="1" applyFill="1" applyBorder="1" applyAlignment="1" applyProtection="1">
      <alignment horizontal="right"/>
      <protection locked="0"/>
    </xf>
    <xf numFmtId="1" fontId="4" fillId="4" borderId="204" xfId="15" applyNumberFormat="1" applyFont="1" applyFill="1" applyBorder="1" applyAlignment="1" applyProtection="1">
      <alignment horizontal="right"/>
      <protection locked="0"/>
    </xf>
    <xf numFmtId="1" fontId="4" fillId="0" borderId="203" xfId="2" applyNumberFormat="1" applyFont="1" applyBorder="1" applyAlignment="1" applyProtection="1">
      <alignment horizontal="center" vertical="center" wrapText="1"/>
      <protection hidden="1"/>
    </xf>
    <xf numFmtId="1" fontId="4" fillId="0" borderId="197" xfId="2" applyNumberFormat="1" applyFont="1" applyBorder="1" applyAlignment="1" applyProtection="1">
      <alignment horizontal="center" vertical="center" wrapText="1"/>
      <protection hidden="1"/>
    </xf>
    <xf numFmtId="1" fontId="4" fillId="0" borderId="100" xfId="2" applyNumberFormat="1" applyFont="1" applyBorder="1" applyAlignment="1" applyProtection="1">
      <alignment horizontal="center" vertical="center" wrapText="1"/>
      <protection hidden="1"/>
    </xf>
    <xf numFmtId="1" fontId="4" fillId="0" borderId="71" xfId="1" quotePrefix="1" applyNumberFormat="1" applyFont="1" applyBorder="1" applyAlignment="1">
      <alignment horizontal="left" wrapText="1"/>
    </xf>
    <xf numFmtId="1" fontId="4" fillId="0" borderId="36" xfId="2" applyNumberFormat="1" applyFont="1" applyBorder="1" applyAlignment="1" applyProtection="1">
      <alignment horizontal="right" wrapText="1"/>
      <protection hidden="1"/>
    </xf>
    <xf numFmtId="1" fontId="4" fillId="0" borderId="41" xfId="2" applyNumberFormat="1" applyFont="1" applyBorder="1" applyAlignment="1" applyProtection="1">
      <alignment horizontal="right" wrapText="1"/>
      <protection hidden="1"/>
    </xf>
    <xf numFmtId="1" fontId="4" fillId="0" borderId="42" xfId="2" applyNumberFormat="1" applyFont="1" applyBorder="1" applyAlignment="1" applyProtection="1">
      <alignment horizontal="right" wrapText="1"/>
      <protection hidden="1"/>
    </xf>
    <xf numFmtId="1" fontId="4" fillId="4" borderId="23" xfId="15" applyNumberFormat="1" applyFont="1" applyFill="1" applyBorder="1" applyAlignment="1" applyProtection="1">
      <alignment horizontal="right"/>
      <protection locked="0"/>
    </xf>
    <xf numFmtId="1" fontId="4" fillId="4" borderId="24" xfId="15" applyNumberFormat="1" applyFont="1" applyFill="1" applyBorder="1" applyAlignment="1" applyProtection="1">
      <alignment horizontal="right"/>
      <protection locked="0"/>
    </xf>
    <xf numFmtId="1" fontId="4" fillId="0" borderId="29" xfId="2" applyNumberFormat="1" applyFont="1" applyBorder="1" applyAlignment="1" applyProtection="1">
      <alignment horizontal="right" wrapText="1"/>
      <protection hidden="1"/>
    </xf>
    <xf numFmtId="1" fontId="4" fillId="0" borderId="30" xfId="2" applyNumberFormat="1" applyFont="1" applyBorder="1" applyAlignment="1" applyProtection="1">
      <alignment horizontal="right" wrapText="1"/>
      <protection hidden="1"/>
    </xf>
    <xf numFmtId="1" fontId="4" fillId="0" borderId="97" xfId="1" quotePrefix="1" applyNumberFormat="1" applyFont="1" applyBorder="1" applyAlignment="1">
      <alignment wrapText="1"/>
    </xf>
    <xf numFmtId="1" fontId="4" fillId="0" borderId="44" xfId="2" applyNumberFormat="1" applyFont="1" applyBorder="1" applyAlignment="1" applyProtection="1">
      <alignment horizontal="right" wrapText="1"/>
      <protection hidden="1"/>
    </xf>
    <xf numFmtId="1" fontId="4" fillId="0" borderId="48" xfId="2" applyNumberFormat="1" applyFont="1" applyBorder="1" applyAlignment="1" applyProtection="1">
      <alignment horizontal="right" wrapText="1"/>
      <protection hidden="1"/>
    </xf>
    <xf numFmtId="1" fontId="4" fillId="4" borderId="48" xfId="15" applyNumberFormat="1" applyFont="1" applyFill="1" applyBorder="1" applyAlignment="1" applyProtection="1">
      <alignment horizontal="right"/>
      <protection locked="0"/>
    </xf>
    <xf numFmtId="1" fontId="4" fillId="4" borderId="50" xfId="15" applyNumberFormat="1" applyFont="1" applyFill="1" applyBorder="1" applyAlignment="1" applyProtection="1">
      <alignment horizontal="right"/>
      <protection locked="0"/>
    </xf>
    <xf numFmtId="1" fontId="4" fillId="0" borderId="57" xfId="2" applyNumberFormat="1" applyFont="1" applyBorder="1" applyAlignment="1" applyProtection="1">
      <alignment horizontal="right" wrapText="1"/>
      <protection hidden="1"/>
    </xf>
    <xf numFmtId="1" fontId="4" fillId="0" borderId="49" xfId="2" applyNumberFormat="1" applyFont="1" applyBorder="1" applyAlignment="1" applyProtection="1">
      <alignment horizontal="right" wrapText="1"/>
      <protection hidden="1"/>
    </xf>
    <xf numFmtId="1" fontId="4" fillId="0" borderId="65" xfId="1" quotePrefix="1" applyNumberFormat="1" applyFont="1" applyBorder="1" applyAlignment="1">
      <alignment wrapText="1"/>
    </xf>
    <xf numFmtId="1" fontId="4" fillId="0" borderId="65" xfId="2" applyNumberFormat="1" applyFont="1" applyBorder="1" applyAlignment="1" applyProtection="1">
      <alignment horizontal="right" wrapText="1"/>
      <protection hidden="1"/>
    </xf>
    <xf numFmtId="1" fontId="4" fillId="0" borderId="68" xfId="2" applyNumberFormat="1" applyFont="1" applyBorder="1" applyAlignment="1" applyProtection="1">
      <alignment horizontal="right" wrapText="1"/>
      <protection hidden="1"/>
    </xf>
    <xf numFmtId="1" fontId="4" fillId="0" borderId="69" xfId="2" applyNumberFormat="1" applyFont="1" applyBorder="1" applyAlignment="1" applyProtection="1">
      <alignment horizontal="right" wrapText="1"/>
      <protection hidden="1"/>
    </xf>
    <xf numFmtId="1" fontId="4" fillId="4" borderId="68" xfId="15" applyNumberFormat="1" applyFont="1" applyFill="1" applyBorder="1" applyAlignment="1" applyProtection="1">
      <alignment horizontal="right"/>
      <protection locked="0"/>
    </xf>
    <xf numFmtId="1" fontId="4" fillId="4" borderId="70" xfId="15" applyNumberFormat="1" applyFont="1" applyFill="1" applyBorder="1" applyAlignment="1" applyProtection="1">
      <alignment horizontal="right"/>
      <protection locked="0"/>
    </xf>
    <xf numFmtId="1" fontId="4" fillId="0" borderId="67" xfId="2" applyNumberFormat="1" applyFont="1" applyBorder="1" applyAlignment="1" applyProtection="1">
      <alignment horizontal="right" wrapText="1"/>
      <protection hidden="1"/>
    </xf>
    <xf numFmtId="1" fontId="4" fillId="0" borderId="32" xfId="1" quotePrefix="1" applyNumberFormat="1" applyFont="1" applyBorder="1"/>
    <xf numFmtId="1" fontId="4" fillId="0" borderId="32" xfId="2" applyNumberFormat="1" applyFont="1" applyBorder="1" applyAlignment="1" applyProtection="1">
      <alignment horizontal="right" wrapText="1"/>
      <protection hidden="1"/>
    </xf>
    <xf numFmtId="1" fontId="4" fillId="0" borderId="20" xfId="2" applyNumberFormat="1" applyFont="1" applyBorder="1" applyAlignment="1" applyProtection="1">
      <alignment horizontal="right" wrapText="1"/>
      <protection hidden="1"/>
    </xf>
    <xf numFmtId="1" fontId="4" fillId="0" borderId="13" xfId="2" applyNumberFormat="1" applyFont="1" applyBorder="1" applyAlignment="1" applyProtection="1">
      <alignment horizontal="right" wrapText="1"/>
      <protection hidden="1"/>
    </xf>
    <xf numFmtId="1" fontId="4" fillId="0" borderId="3" xfId="2" applyNumberFormat="1" applyFont="1" applyBorder="1" applyAlignment="1" applyProtection="1">
      <alignment horizontal="right" wrapText="1"/>
      <protection hidden="1"/>
    </xf>
    <xf numFmtId="1" fontId="4" fillId="0" borderId="19" xfId="2" applyNumberFormat="1" applyFont="1" applyBorder="1" applyAlignment="1" applyProtection="1">
      <alignment horizontal="right" wrapText="1"/>
      <protection hidden="1"/>
    </xf>
    <xf numFmtId="1" fontId="4" fillId="0" borderId="22" xfId="2" applyNumberFormat="1" applyFont="1" applyBorder="1" applyAlignment="1" applyProtection="1">
      <alignment horizontal="right" wrapText="1"/>
      <protection hidden="1"/>
    </xf>
    <xf numFmtId="1" fontId="4" fillId="0" borderId="71" xfId="1" quotePrefix="1" applyNumberFormat="1" applyFont="1" applyBorder="1" applyAlignment="1">
      <alignment wrapText="1"/>
    </xf>
    <xf numFmtId="1" fontId="4" fillId="4" borderId="41" xfId="15" applyNumberFormat="1" applyFont="1" applyFill="1" applyBorder="1" applyAlignment="1" applyProtection="1">
      <alignment horizontal="right"/>
      <protection locked="0"/>
    </xf>
    <xf numFmtId="1" fontId="4" fillId="4" borderId="43" xfId="15" applyNumberFormat="1" applyFont="1" applyFill="1" applyBorder="1" applyAlignment="1" applyProtection="1">
      <alignment horizontal="right"/>
      <protection locked="0"/>
    </xf>
    <xf numFmtId="1" fontId="4" fillId="4" borderId="145" xfId="15" applyNumberFormat="1" applyFont="1" applyFill="1" applyBorder="1" applyAlignment="1" applyProtection="1">
      <alignment horizontal="right"/>
      <protection locked="0"/>
    </xf>
    <xf numFmtId="1" fontId="4" fillId="0" borderId="40" xfId="2" applyNumberFormat="1" applyFont="1" applyBorder="1" applyAlignment="1" applyProtection="1">
      <alignment horizontal="right" wrapText="1"/>
      <protection hidden="1"/>
    </xf>
    <xf numFmtId="1" fontId="4" fillId="0" borderId="97" xfId="1" applyNumberFormat="1" applyFont="1" applyBorder="1"/>
    <xf numFmtId="1" fontId="4" fillId="0" borderId="97" xfId="2" applyNumberFormat="1" applyFont="1" applyBorder="1" applyAlignment="1" applyProtection="1">
      <alignment horizontal="right" wrapText="1"/>
      <protection hidden="1"/>
    </xf>
    <xf numFmtId="1" fontId="4" fillId="0" borderId="54" xfId="2" applyNumberFormat="1" applyFont="1" applyBorder="1" applyAlignment="1" applyProtection="1">
      <alignment horizontal="right" wrapText="1"/>
      <protection hidden="1"/>
    </xf>
    <xf numFmtId="1" fontId="4" fillId="0" borderId="62" xfId="2" applyNumberFormat="1" applyFont="1" applyBorder="1" applyAlignment="1" applyProtection="1">
      <alignment horizontal="right" wrapText="1"/>
      <protection hidden="1"/>
    </xf>
    <xf numFmtId="1" fontId="4" fillId="4" borderId="54" xfId="15" applyNumberFormat="1" applyFont="1" applyFill="1" applyBorder="1" applyAlignment="1" applyProtection="1">
      <alignment horizontal="right"/>
      <protection locked="0"/>
    </xf>
    <xf numFmtId="1" fontId="4" fillId="4" borderId="56" xfId="15" applyNumberFormat="1" applyFont="1" applyFill="1" applyBorder="1" applyAlignment="1" applyProtection="1">
      <alignment horizontal="right"/>
      <protection locked="0"/>
    </xf>
    <xf numFmtId="1" fontId="4" fillId="4" borderId="153" xfId="15" applyNumberFormat="1" applyFont="1" applyFill="1" applyBorder="1" applyAlignment="1" applyProtection="1">
      <alignment horizontal="right"/>
      <protection locked="0"/>
    </xf>
    <xf numFmtId="1" fontId="4" fillId="0" borderId="220" xfId="2" applyNumberFormat="1" applyFont="1" applyBorder="1" applyAlignment="1" applyProtection="1">
      <alignment horizontal="right" wrapText="1"/>
      <protection hidden="1"/>
    </xf>
    <xf numFmtId="1" fontId="4" fillId="0" borderId="55" xfId="2" applyNumberFormat="1" applyFont="1" applyBorder="1" applyAlignment="1" applyProtection="1">
      <alignment horizontal="right" wrapText="1"/>
      <protection hidden="1"/>
    </xf>
    <xf numFmtId="1" fontId="4" fillId="0" borderId="200" xfId="1" applyNumberFormat="1" applyFont="1" applyBorder="1" applyAlignment="1">
      <alignment horizontal="center"/>
    </xf>
    <xf numFmtId="1" fontId="4" fillId="0" borderId="197" xfId="2" applyNumberFormat="1" applyFont="1" applyBorder="1" applyAlignment="1" applyProtection="1">
      <alignment horizontal="right" wrapText="1"/>
      <protection hidden="1"/>
    </xf>
    <xf numFmtId="1" fontId="4" fillId="0" borderId="89" xfId="2" applyNumberFormat="1" applyFont="1" applyBorder="1" applyAlignment="1" applyProtection="1">
      <alignment horizontal="right" wrapText="1"/>
      <protection hidden="1"/>
    </xf>
    <xf numFmtId="1" fontId="4" fillId="0" borderId="90" xfId="2" applyNumberFormat="1" applyFont="1" applyBorder="1" applyAlignment="1" applyProtection="1">
      <alignment horizontal="right" wrapText="1"/>
      <protection hidden="1"/>
    </xf>
    <xf numFmtId="1" fontId="4" fillId="0" borderId="200" xfId="1" applyNumberFormat="1" applyFont="1" applyBorder="1" applyAlignment="1">
      <alignment horizontal="left"/>
    </xf>
    <xf numFmtId="1" fontId="4" fillId="4" borderId="90" xfId="15" applyNumberFormat="1" applyFont="1" applyFill="1" applyBorder="1" applyAlignment="1" applyProtection="1">
      <alignment horizontal="right"/>
      <protection locked="0"/>
    </xf>
    <xf numFmtId="1" fontId="4" fillId="4" borderId="130" xfId="15" applyNumberFormat="1" applyFont="1" applyFill="1" applyBorder="1" applyAlignment="1" applyProtection="1">
      <alignment horizontal="right"/>
      <protection locked="0"/>
    </xf>
    <xf numFmtId="1" fontId="2" fillId="6" borderId="0" xfId="0" applyNumberFormat="1" applyFont="1" applyFill="1"/>
    <xf numFmtId="1" fontId="4" fillId="0" borderId="206" xfId="1" quotePrefix="1" applyNumberFormat="1" applyFont="1" applyBorder="1"/>
    <xf numFmtId="1" fontId="4" fillId="3" borderId="36" xfId="1" applyNumberFormat="1" applyFont="1" applyFill="1" applyBorder="1" applyAlignment="1">
      <alignment horizontal="right"/>
    </xf>
    <xf numFmtId="1" fontId="4" fillId="3" borderId="40" xfId="0" applyNumberFormat="1" applyFont="1" applyFill="1" applyBorder="1" applyAlignment="1">
      <alignment horizontal="right"/>
    </xf>
    <xf numFmtId="1" fontId="4" fillId="3" borderId="42" xfId="0" applyNumberFormat="1" applyFont="1" applyFill="1" applyBorder="1" applyAlignment="1">
      <alignment horizontal="right"/>
    </xf>
    <xf numFmtId="1" fontId="4" fillId="3" borderId="97" xfId="1" applyNumberFormat="1" applyFont="1" applyFill="1" applyBorder="1" applyAlignment="1">
      <alignment horizontal="right"/>
    </xf>
    <xf numFmtId="1" fontId="4" fillId="3" borderId="65" xfId="1" applyNumberFormat="1" applyFont="1" applyFill="1" applyBorder="1" applyAlignment="1">
      <alignment horizontal="right"/>
    </xf>
    <xf numFmtId="1" fontId="4" fillId="4" borderId="141" xfId="15" applyNumberFormat="1" applyFont="1" applyFill="1" applyBorder="1" applyAlignment="1" applyProtection="1">
      <alignment horizontal="right"/>
      <protection locked="0"/>
    </xf>
    <xf numFmtId="1" fontId="4" fillId="3" borderId="67" xfId="0" applyNumberFormat="1" applyFont="1" applyFill="1" applyBorder="1" applyAlignment="1">
      <alignment horizontal="right"/>
    </xf>
    <xf numFmtId="1" fontId="4" fillId="3" borderId="69" xfId="0" applyNumberFormat="1" applyFont="1" applyFill="1" applyBorder="1" applyAlignment="1">
      <alignment horizontal="right"/>
    </xf>
    <xf numFmtId="1" fontId="4" fillId="0" borderId="200" xfId="1" quotePrefix="1" applyNumberFormat="1" applyFont="1" applyBorder="1" applyAlignment="1">
      <alignment horizontal="center"/>
    </xf>
    <xf numFmtId="1" fontId="4" fillId="3" borderId="200" xfId="1" applyNumberFormat="1" applyFont="1" applyFill="1" applyBorder="1" applyAlignment="1">
      <alignment horizontal="right"/>
    </xf>
    <xf numFmtId="1" fontId="4" fillId="4" borderId="137" xfId="15" applyNumberFormat="1" applyFont="1" applyFill="1" applyBorder="1" applyAlignment="1" applyProtection="1">
      <alignment horizontal="right"/>
      <protection locked="0"/>
    </xf>
    <xf numFmtId="1" fontId="4" fillId="0" borderId="140" xfId="1" quotePrefix="1" applyNumberFormat="1" applyFont="1" applyBorder="1"/>
    <xf numFmtId="1" fontId="4" fillId="3" borderId="220" xfId="0" applyNumberFormat="1" applyFont="1" applyFill="1" applyBorder="1" applyAlignment="1">
      <alignment horizontal="right"/>
    </xf>
    <xf numFmtId="1" fontId="4" fillId="3" borderId="55" xfId="0" applyNumberFormat="1" applyFont="1" applyFill="1" applyBorder="1" applyAlignment="1">
      <alignment horizontal="right"/>
    </xf>
    <xf numFmtId="1" fontId="4" fillId="0" borderId="200" xfId="1" quotePrefix="1" applyNumberFormat="1" applyFont="1" applyBorder="1"/>
    <xf numFmtId="1" fontId="4" fillId="0" borderId="32" xfId="1" quotePrefix="1" applyNumberFormat="1" applyFont="1" applyBorder="1" applyAlignment="1">
      <alignment wrapText="1"/>
    </xf>
    <xf numFmtId="1" fontId="4" fillId="3" borderId="32" xfId="0" applyNumberFormat="1" applyFont="1" applyFill="1" applyBorder="1" applyAlignment="1">
      <alignment horizontal="right"/>
    </xf>
    <xf numFmtId="1" fontId="4" fillId="3" borderId="19" xfId="0" applyNumberFormat="1" applyFont="1" applyFill="1" applyBorder="1" applyAlignment="1">
      <alignment horizontal="right"/>
    </xf>
    <xf numFmtId="1" fontId="4" fillId="3" borderId="13" xfId="0" applyNumberFormat="1" applyFont="1" applyFill="1" applyBorder="1" applyAlignment="1">
      <alignment horizontal="right"/>
    </xf>
    <xf numFmtId="1" fontId="4" fillId="3" borderId="25" xfId="1" applyNumberFormat="1" applyFont="1" applyFill="1" applyBorder="1" applyAlignment="1">
      <alignment horizontal="right"/>
    </xf>
    <xf numFmtId="1" fontId="4" fillId="3" borderId="29" xfId="0" applyNumberFormat="1" applyFont="1" applyFill="1" applyBorder="1" applyAlignment="1">
      <alignment horizontal="right"/>
    </xf>
    <xf numFmtId="1" fontId="4" fillId="3" borderId="30" xfId="0" applyNumberFormat="1" applyFont="1" applyFill="1" applyBorder="1" applyAlignment="1">
      <alignment horizontal="right"/>
    </xf>
    <xf numFmtId="1" fontId="4" fillId="0" borderId="114" xfId="1" applyNumberFormat="1" applyFont="1" applyBorder="1" applyAlignment="1">
      <alignment wrapText="1"/>
    </xf>
    <xf numFmtId="1" fontId="4" fillId="3" borderId="44" xfId="1" applyNumberFormat="1" applyFont="1" applyFill="1" applyBorder="1" applyAlignment="1">
      <alignment horizontal="right"/>
    </xf>
    <xf numFmtId="1" fontId="4" fillId="4" borderId="147" xfId="15" applyNumberFormat="1" applyFont="1" applyFill="1" applyBorder="1" applyAlignment="1" applyProtection="1">
      <alignment horizontal="right"/>
      <protection locked="0"/>
    </xf>
    <xf numFmtId="1" fontId="4" fillId="3" borderId="57" xfId="0" applyNumberFormat="1" applyFont="1" applyFill="1" applyBorder="1" applyAlignment="1">
      <alignment horizontal="right"/>
    </xf>
    <xf numFmtId="1" fontId="4" fillId="3" borderId="49" xfId="0" applyNumberFormat="1" applyFont="1" applyFill="1" applyBorder="1" applyAlignment="1">
      <alignment horizontal="right"/>
    </xf>
    <xf numFmtId="1" fontId="4" fillId="0" borderId="201" xfId="1" applyNumberFormat="1" applyFont="1" applyBorder="1" applyAlignment="1">
      <alignment horizontal="center"/>
    </xf>
    <xf numFmtId="1" fontId="4" fillId="0" borderId="204" xfId="2" applyNumberFormat="1" applyFont="1" applyBorder="1" applyAlignment="1" applyProtection="1">
      <alignment horizontal="right" wrapText="1"/>
      <protection hidden="1"/>
    </xf>
    <xf numFmtId="1" fontId="4" fillId="0" borderId="118" xfId="1" applyNumberFormat="1" applyFont="1" applyBorder="1" applyAlignment="1">
      <alignment wrapText="1"/>
    </xf>
    <xf numFmtId="1" fontId="4" fillId="4" borderId="150" xfId="15" applyNumberFormat="1" applyFont="1" applyFill="1" applyBorder="1" applyAlignment="1" applyProtection="1">
      <alignment horizontal="right"/>
      <protection locked="0"/>
    </xf>
    <xf numFmtId="1" fontId="4" fillId="0" borderId="201" xfId="1" applyNumberFormat="1" applyFont="1" applyBorder="1"/>
    <xf numFmtId="1" fontId="4" fillId="0" borderId="94" xfId="2" applyNumberFormat="1" applyFont="1" applyBorder="1" applyAlignment="1" applyProtection="1">
      <alignment horizontal="right" wrapText="1"/>
      <protection hidden="1"/>
    </xf>
    <xf numFmtId="1" fontId="4" fillId="0" borderId="126" xfId="1" applyNumberFormat="1" applyFont="1" applyBorder="1" applyAlignment="1">
      <alignment wrapText="1"/>
    </xf>
    <xf numFmtId="1" fontId="4" fillId="3" borderId="71" xfId="1" applyNumberFormat="1" applyFont="1" applyFill="1" applyBorder="1" applyAlignment="1">
      <alignment horizontal="right" wrapText="1"/>
    </xf>
    <xf numFmtId="1" fontId="4" fillId="0" borderId="61" xfId="2" applyNumberFormat="1" applyFont="1" applyBorder="1" applyAlignment="1" applyProtection="1">
      <alignment horizontal="right" wrapText="1"/>
      <protection hidden="1"/>
    </xf>
    <xf numFmtId="1" fontId="4" fillId="3" borderId="71" xfId="1" applyNumberFormat="1" applyFont="1" applyFill="1" applyBorder="1" applyAlignment="1">
      <alignment horizontal="right"/>
    </xf>
    <xf numFmtId="1" fontId="4" fillId="4" borderId="61" xfId="15" applyNumberFormat="1" applyFont="1" applyFill="1" applyBorder="1" applyAlignment="1" applyProtection="1">
      <alignment horizontal="right"/>
      <protection locked="0"/>
    </xf>
    <xf numFmtId="1" fontId="4" fillId="4" borderId="63" xfId="15" applyNumberFormat="1" applyFont="1" applyFill="1" applyBorder="1" applyAlignment="1" applyProtection="1">
      <alignment horizontal="right"/>
      <protection locked="0"/>
    </xf>
    <xf numFmtId="1" fontId="4" fillId="4" borderId="224" xfId="15" applyNumberFormat="1" applyFont="1" applyFill="1" applyBorder="1" applyAlignment="1" applyProtection="1">
      <alignment horizontal="right"/>
      <protection locked="0"/>
    </xf>
    <xf numFmtId="1" fontId="4" fillId="3" borderId="60" xfId="0" applyNumberFormat="1" applyFont="1" applyFill="1" applyBorder="1" applyAlignment="1">
      <alignment horizontal="right"/>
    </xf>
    <xf numFmtId="1" fontId="4" fillId="3" borderId="199" xfId="0" applyNumberFormat="1" applyFont="1" applyFill="1" applyBorder="1" applyAlignment="1">
      <alignment horizontal="right"/>
    </xf>
    <xf numFmtId="1" fontId="4" fillId="0" borderId="203" xfId="2" applyNumberFormat="1" applyFont="1" applyBorder="1" applyAlignment="1" applyProtection="1">
      <alignment horizontal="right" wrapText="1"/>
      <protection hidden="1"/>
    </xf>
    <xf numFmtId="1" fontId="4" fillId="3" borderId="202" xfId="0" applyNumberFormat="1" applyFont="1" applyFill="1" applyBorder="1" applyAlignment="1">
      <alignment horizontal="center" wrapText="1"/>
    </xf>
    <xf numFmtId="1" fontId="4" fillId="3" borderId="30" xfId="0" applyNumberFormat="1" applyFont="1" applyFill="1" applyBorder="1" applyAlignment="1">
      <alignment horizontal="right" wrapText="1"/>
    </xf>
    <xf numFmtId="1" fontId="4" fillId="3" borderId="23" xfId="0" applyNumberFormat="1" applyFont="1" applyFill="1" applyBorder="1" applyAlignment="1">
      <alignment horizontal="right" wrapText="1"/>
    </xf>
    <xf numFmtId="1" fontId="4" fillId="3" borderId="25" xfId="0" applyNumberFormat="1" applyFont="1" applyFill="1" applyBorder="1" applyAlignment="1">
      <alignment horizontal="right" wrapText="1"/>
    </xf>
    <xf numFmtId="1" fontId="4" fillId="4" borderId="26" xfId="15" applyNumberFormat="1" applyFont="1" applyFill="1" applyBorder="1" applyAlignment="1" applyProtection="1">
      <alignment horizontal="right"/>
      <protection locked="0"/>
    </xf>
    <xf numFmtId="1" fontId="4" fillId="4" borderId="96" xfId="15" applyNumberFormat="1" applyFont="1" applyFill="1" applyBorder="1" applyAlignment="1" applyProtection="1">
      <alignment horizontal="right"/>
      <protection locked="0"/>
    </xf>
    <xf numFmtId="1" fontId="4" fillId="3" borderId="29" xfId="0" applyNumberFormat="1" applyFont="1" applyFill="1" applyBorder="1" applyAlignment="1">
      <alignment horizontal="right" wrapText="1"/>
    </xf>
    <xf numFmtId="1" fontId="4" fillId="3" borderId="49" xfId="0" applyNumberFormat="1" applyFont="1" applyFill="1" applyBorder="1" applyAlignment="1">
      <alignment horizontal="right" wrapText="1"/>
    </xf>
    <xf numFmtId="1" fontId="4" fillId="3" borderId="48" xfId="0" applyNumberFormat="1" applyFont="1" applyFill="1" applyBorder="1" applyAlignment="1">
      <alignment horizontal="right" wrapText="1"/>
    </xf>
    <xf numFmtId="1" fontId="4" fillId="3" borderId="44" xfId="0" applyNumberFormat="1" applyFont="1" applyFill="1" applyBorder="1" applyAlignment="1">
      <alignment horizontal="right" wrapText="1"/>
    </xf>
    <xf numFmtId="1" fontId="4" fillId="4" borderId="37" xfId="15" applyNumberFormat="1" applyFont="1" applyFill="1" applyBorder="1" applyAlignment="1" applyProtection="1">
      <alignment horizontal="right"/>
      <protection locked="0"/>
    </xf>
    <xf numFmtId="1" fontId="4" fillId="4" borderId="148" xfId="15" applyNumberFormat="1" applyFont="1" applyFill="1" applyBorder="1" applyAlignment="1" applyProtection="1">
      <alignment horizontal="right"/>
      <protection locked="0"/>
    </xf>
    <xf numFmtId="1" fontId="4" fillId="3" borderId="57" xfId="0" applyNumberFormat="1" applyFont="1" applyFill="1" applyBorder="1" applyAlignment="1">
      <alignment horizontal="right" wrapText="1"/>
    </xf>
    <xf numFmtId="1" fontId="4" fillId="5" borderId="45" xfId="15" applyNumberFormat="1" applyFont="1" applyFill="1" applyBorder="1" applyAlignment="1" applyProtection="1">
      <alignment horizontal="right"/>
    </xf>
    <xf numFmtId="1" fontId="4" fillId="5" borderId="150" xfId="15" applyNumberFormat="1" applyFont="1" applyFill="1" applyBorder="1" applyAlignment="1" applyProtection="1">
      <alignment horizontal="right"/>
    </xf>
    <xf numFmtId="1" fontId="4" fillId="5" borderId="50" xfId="15" applyNumberFormat="1" applyFont="1" applyFill="1" applyBorder="1" applyAlignment="1" applyProtection="1">
      <alignment horizontal="right"/>
    </xf>
    <xf numFmtId="1" fontId="4" fillId="3" borderId="69" xfId="0" applyNumberFormat="1" applyFont="1" applyFill="1" applyBorder="1" applyAlignment="1">
      <alignment horizontal="right" wrapText="1"/>
    </xf>
    <xf numFmtId="1" fontId="4" fillId="3" borderId="68" xfId="0" applyNumberFormat="1" applyFont="1" applyFill="1" applyBorder="1" applyAlignment="1">
      <alignment horizontal="right" wrapText="1"/>
    </xf>
    <xf numFmtId="1" fontId="4" fillId="3" borderId="65" xfId="0" applyNumberFormat="1" applyFont="1" applyFill="1" applyBorder="1" applyAlignment="1">
      <alignment horizontal="right" wrapText="1"/>
    </xf>
    <xf numFmtId="1" fontId="4" fillId="4" borderId="33" xfId="15" applyNumberFormat="1" applyFont="1" applyFill="1" applyBorder="1" applyAlignment="1" applyProtection="1">
      <alignment horizontal="right"/>
      <protection locked="0"/>
    </xf>
    <xf numFmtId="1" fontId="4" fillId="4" borderId="22" xfId="15" applyNumberFormat="1" applyFont="1" applyFill="1" applyBorder="1" applyAlignment="1" applyProtection="1">
      <alignment horizontal="right"/>
      <protection locked="0"/>
    </xf>
    <xf numFmtId="1" fontId="4" fillId="4" borderId="66" xfId="15" applyNumberFormat="1" applyFont="1" applyFill="1" applyBorder="1" applyAlignment="1" applyProtection="1">
      <alignment horizontal="right"/>
      <protection locked="0"/>
    </xf>
    <xf numFmtId="1" fontId="4" fillId="4" borderId="149" xfId="15" applyNumberFormat="1" applyFont="1" applyFill="1" applyBorder="1" applyAlignment="1" applyProtection="1">
      <alignment horizontal="right"/>
      <protection locked="0"/>
    </xf>
    <xf numFmtId="1" fontId="4" fillId="0" borderId="90" xfId="2" applyNumberFormat="1" applyFont="1" applyBorder="1" applyAlignment="1" applyProtection="1">
      <alignment horizontal="center" vertical="center" wrapText="1"/>
      <protection hidden="1"/>
    </xf>
    <xf numFmtId="1" fontId="4" fillId="3" borderId="36" xfId="0" applyNumberFormat="1" applyFont="1" applyFill="1" applyBorder="1" applyAlignment="1">
      <alignment horizontal="right" wrapText="1"/>
    </xf>
    <xf numFmtId="1" fontId="4" fillId="3" borderId="41" xfId="0" applyNumberFormat="1" applyFont="1" applyFill="1" applyBorder="1" applyAlignment="1">
      <alignment horizontal="right" wrapText="1"/>
    </xf>
    <xf numFmtId="1" fontId="4" fillId="3" borderId="42" xfId="0" applyNumberFormat="1" applyFont="1" applyFill="1" applyBorder="1" applyAlignment="1">
      <alignment horizontal="right" wrapText="1"/>
    </xf>
    <xf numFmtId="1" fontId="4" fillId="3" borderId="40" xfId="0" applyNumberFormat="1" applyFont="1" applyFill="1" applyBorder="1" applyAlignment="1">
      <alignment horizontal="right" wrapText="1"/>
    </xf>
    <xf numFmtId="1" fontId="4" fillId="3" borderId="44" xfId="0" applyNumberFormat="1" applyFont="1" applyFill="1" applyBorder="1" applyAlignment="1">
      <alignment horizontal="right"/>
    </xf>
    <xf numFmtId="1" fontId="4" fillId="3" borderId="48" xfId="0" applyNumberFormat="1" applyFont="1" applyFill="1" applyBorder="1" applyAlignment="1">
      <alignment horizontal="right"/>
    </xf>
    <xf numFmtId="1" fontId="4" fillId="4" borderId="45" xfId="15" applyNumberFormat="1" applyFont="1" applyFill="1" applyBorder="1" applyAlignment="1" applyProtection="1">
      <alignment horizontal="right"/>
      <protection locked="0"/>
    </xf>
    <xf numFmtId="1" fontId="4" fillId="3" borderId="32" xfId="0" applyNumberFormat="1" applyFont="1" applyFill="1" applyBorder="1" applyAlignment="1">
      <alignment horizontal="right" wrapText="1"/>
    </xf>
    <xf numFmtId="1" fontId="4" fillId="3" borderId="20" xfId="0" applyNumberFormat="1" applyFont="1" applyFill="1" applyBorder="1" applyAlignment="1">
      <alignment horizontal="right" wrapText="1"/>
    </xf>
    <xf numFmtId="1" fontId="4" fillId="3" borderId="13" xfId="0" applyNumberFormat="1" applyFont="1" applyFill="1" applyBorder="1" applyAlignment="1">
      <alignment horizontal="right" wrapText="1"/>
    </xf>
    <xf numFmtId="1" fontId="4" fillId="4" borderId="20" xfId="15" applyNumberFormat="1" applyFont="1" applyFill="1" applyBorder="1" applyAlignment="1" applyProtection="1">
      <alignment horizontal="right"/>
      <protection locked="0"/>
    </xf>
    <xf numFmtId="1" fontId="4" fillId="4" borderId="135" xfId="15" applyNumberFormat="1" applyFont="1" applyFill="1" applyBorder="1" applyAlignment="1" applyProtection="1">
      <alignment horizontal="right"/>
      <protection locked="0"/>
    </xf>
    <xf numFmtId="1" fontId="4" fillId="3" borderId="19" xfId="0" applyNumberFormat="1" applyFont="1" applyFill="1" applyBorder="1" applyAlignment="1">
      <alignment horizontal="right" wrapText="1"/>
    </xf>
    <xf numFmtId="1" fontId="4" fillId="0" borderId="94" xfId="2" applyNumberFormat="1" applyFont="1" applyBorder="1" applyAlignment="1" applyProtection="1">
      <alignment horizontal="center" vertical="center" wrapText="1"/>
      <protection hidden="1"/>
    </xf>
    <xf numFmtId="1" fontId="4" fillId="3" borderId="0" xfId="0" applyNumberFormat="1" applyFont="1" applyFill="1" applyAlignment="1">
      <alignment horizontal="right"/>
    </xf>
    <xf numFmtId="1" fontId="4" fillId="3" borderId="200" xfId="0" applyNumberFormat="1" applyFont="1" applyFill="1" applyBorder="1" applyAlignment="1">
      <alignment horizontal="center" wrapText="1"/>
    </xf>
    <xf numFmtId="1" fontId="4" fillId="0" borderId="130" xfId="2" applyNumberFormat="1" applyFont="1" applyBorder="1" applyAlignment="1" applyProtection="1">
      <alignment horizontal="center" vertical="center" wrapText="1"/>
      <protection hidden="1"/>
    </xf>
    <xf numFmtId="1" fontId="4" fillId="3" borderId="89" xfId="0" applyNumberFormat="1" applyFont="1" applyFill="1" applyBorder="1" applyAlignment="1">
      <alignment horizontal="center" wrapText="1"/>
    </xf>
    <xf numFmtId="1" fontId="4" fillId="3" borderId="68" xfId="0" applyNumberFormat="1" applyFont="1" applyFill="1" applyBorder="1" applyAlignment="1">
      <alignment horizontal="right"/>
    </xf>
    <xf numFmtId="1" fontId="4" fillId="3" borderId="25" xfId="0" applyNumberFormat="1" applyFont="1" applyFill="1" applyBorder="1" applyAlignment="1">
      <alignment wrapText="1"/>
    </xf>
    <xf numFmtId="1" fontId="4" fillId="3" borderId="71" xfId="0" applyNumberFormat="1" applyFont="1" applyFill="1" applyBorder="1" applyAlignment="1">
      <alignment wrapText="1"/>
    </xf>
    <xf numFmtId="1" fontId="4" fillId="3" borderId="97" xfId="0" applyNumberFormat="1" applyFont="1" applyFill="1" applyBorder="1" applyAlignment="1">
      <alignment horizontal="right" wrapText="1"/>
    </xf>
    <xf numFmtId="1" fontId="4" fillId="4" borderId="152" xfId="15" applyNumberFormat="1" applyFont="1" applyFill="1" applyBorder="1" applyAlignment="1" applyProtection="1">
      <alignment horizontal="right"/>
      <protection locked="0"/>
    </xf>
    <xf numFmtId="1" fontId="4" fillId="3" borderId="220" xfId="0" applyNumberFormat="1" applyFont="1" applyFill="1" applyBorder="1" applyAlignment="1">
      <alignment horizontal="right" wrapText="1"/>
    </xf>
    <xf numFmtId="1" fontId="4" fillId="3" borderId="55" xfId="0" applyNumberFormat="1" applyFont="1" applyFill="1" applyBorder="1" applyAlignment="1">
      <alignment horizontal="right" wrapText="1"/>
    </xf>
    <xf numFmtId="1" fontId="4" fillId="3" borderId="25" xfId="0" applyNumberFormat="1" applyFont="1" applyFill="1" applyBorder="1" applyAlignment="1">
      <alignment horizontal="right"/>
    </xf>
    <xf numFmtId="1" fontId="4" fillId="3" borderId="65" xfId="0" applyNumberFormat="1" applyFont="1" applyFill="1" applyBorder="1" applyAlignment="1">
      <alignment horizontal="right"/>
    </xf>
    <xf numFmtId="1" fontId="4" fillId="3" borderId="65" xfId="0" applyNumberFormat="1" applyFont="1" applyFill="1" applyBorder="1" applyAlignment="1">
      <alignment wrapText="1"/>
    </xf>
    <xf numFmtId="1" fontId="4" fillId="3" borderId="36" xfId="0" applyNumberFormat="1" applyFont="1" applyFill="1" applyBorder="1" applyAlignment="1">
      <alignment wrapText="1"/>
    </xf>
    <xf numFmtId="1" fontId="4" fillId="3" borderId="36" xfId="0" applyNumberFormat="1" applyFont="1" applyFill="1" applyBorder="1" applyAlignment="1">
      <alignment horizontal="right"/>
    </xf>
    <xf numFmtId="1" fontId="4" fillId="4" borderId="3" xfId="15" applyNumberFormat="1" applyFont="1" applyFill="1" applyBorder="1" applyAlignment="1" applyProtection="1">
      <alignment horizontal="right"/>
      <protection locked="0"/>
    </xf>
    <xf numFmtId="1" fontId="4" fillId="3" borderId="0" xfId="0" applyNumberFormat="1" applyFont="1" applyFill="1" applyAlignment="1">
      <alignment wrapText="1"/>
    </xf>
    <xf numFmtId="1" fontId="2" fillId="2" borderId="0" xfId="6" applyNumberFormat="1" applyFont="1" applyFill="1"/>
    <xf numFmtId="1" fontId="4" fillId="2" borderId="0" xfId="6" applyNumberFormat="1" applyFont="1" applyFill="1"/>
    <xf numFmtId="1" fontId="2" fillId="2" borderId="0" xfId="6" applyNumberFormat="1" applyFont="1" applyFill="1" applyAlignment="1">
      <alignment horizontal="center"/>
    </xf>
    <xf numFmtId="1" fontId="2" fillId="2" borderId="0" xfId="16" applyNumberFormat="1" applyFont="1" applyFill="1" applyAlignment="1">
      <alignment horizontal="left"/>
    </xf>
    <xf numFmtId="1" fontId="3" fillId="2" borderId="0" xfId="3" applyNumberFormat="1" applyFont="1" applyFill="1" applyAlignment="1" applyProtection="1">
      <alignment vertical="center" wrapText="1"/>
      <protection hidden="1"/>
    </xf>
    <xf numFmtId="1" fontId="4" fillId="2" borderId="200" xfId="6" applyNumberFormat="1" applyFont="1" applyFill="1" applyBorder="1" applyAlignment="1">
      <alignment horizontal="center" vertical="center" wrapText="1"/>
    </xf>
    <xf numFmtId="1" fontId="4" fillId="2" borderId="208" xfId="6" applyNumberFormat="1" applyFont="1" applyFill="1" applyBorder="1" applyAlignment="1">
      <alignment horizontal="center" vertical="center" wrapText="1"/>
    </xf>
    <xf numFmtId="1" fontId="4" fillId="2" borderId="209" xfId="6" applyNumberFormat="1" applyFont="1" applyFill="1" applyBorder="1" applyAlignment="1">
      <alignment horizontal="center" vertical="center"/>
    </xf>
    <xf numFmtId="1" fontId="4" fillId="0" borderId="203" xfId="0" applyNumberFormat="1" applyFont="1" applyBorder="1" applyAlignment="1">
      <alignment horizontal="center" vertical="center" wrapText="1"/>
    </xf>
    <xf numFmtId="1" fontId="4" fillId="0" borderId="130" xfId="0" applyNumberFormat="1" applyFont="1" applyBorder="1" applyAlignment="1">
      <alignment horizontal="center" vertical="center" wrapText="1"/>
    </xf>
    <xf numFmtId="1" fontId="4" fillId="0" borderId="100" xfId="0" applyNumberFormat="1" applyFont="1" applyBorder="1" applyAlignment="1">
      <alignment horizontal="center" vertical="center" wrapText="1"/>
    </xf>
    <xf numFmtId="1" fontId="4" fillId="2" borderId="113" xfId="17" applyNumberFormat="1" applyFont="1" applyFill="1" applyBorder="1" applyAlignment="1">
      <alignment horizontal="left" wrapText="1"/>
    </xf>
    <xf numFmtId="1" fontId="4" fillId="2" borderId="36" xfId="17" applyNumberFormat="1" applyFont="1" applyFill="1" applyBorder="1" applyAlignment="1">
      <alignment horizontal="right"/>
    </xf>
    <xf numFmtId="1" fontId="4" fillId="5" borderId="26" xfId="17" applyNumberFormat="1" applyFont="1" applyFill="1" applyBorder="1" applyAlignment="1">
      <alignment horizontal="right"/>
    </xf>
    <xf numFmtId="1" fontId="4" fillId="2" borderId="24" xfId="6" applyNumberFormat="1" applyFont="1" applyFill="1" applyBorder="1" applyAlignment="1">
      <alignment horizontal="right" wrapText="1"/>
    </xf>
    <xf numFmtId="1" fontId="4" fillId="5" borderId="23" xfId="15" applyNumberFormat="1" applyFont="1" applyFill="1" applyBorder="1" applyAlignment="1" applyProtection="1">
      <alignment horizontal="right"/>
    </xf>
    <xf numFmtId="1" fontId="4" fillId="5" borderId="24" xfId="15" applyNumberFormat="1" applyFont="1" applyFill="1" applyBorder="1" applyAlignment="1" applyProtection="1">
      <alignment horizontal="right"/>
    </xf>
    <xf numFmtId="1" fontId="4" fillId="5" borderId="96" xfId="15" applyNumberFormat="1" applyFont="1" applyFill="1" applyBorder="1" applyAlignment="1" applyProtection="1">
      <alignment horizontal="right"/>
    </xf>
    <xf numFmtId="1" fontId="4" fillId="4" borderId="106" xfId="15" applyNumberFormat="1" applyFont="1" applyFill="1" applyBorder="1" applyAlignment="1" applyProtection="1">
      <alignment horizontal="right"/>
      <protection locked="0"/>
    </xf>
    <xf numFmtId="1" fontId="4" fillId="4" borderId="27" xfId="15" applyNumberFormat="1" applyFont="1" applyFill="1" applyBorder="1" applyAlignment="1" applyProtection="1">
      <alignment horizontal="right"/>
      <protection locked="0"/>
    </xf>
    <xf numFmtId="1" fontId="4" fillId="5" borderId="0" xfId="0" applyNumberFormat="1" applyFont="1" applyFill="1"/>
    <xf numFmtId="1" fontId="31" fillId="0" borderId="0" xfId="0" applyNumberFormat="1" applyFont="1"/>
    <xf numFmtId="1" fontId="4" fillId="2" borderId="12" xfId="17" applyNumberFormat="1" applyFont="1" applyFill="1" applyBorder="1" applyAlignment="1">
      <alignment horizontal="left"/>
    </xf>
    <xf numFmtId="1" fontId="4" fillId="2" borderId="65" xfId="17" applyNumberFormat="1" applyFont="1" applyFill="1" applyBorder="1" applyAlignment="1">
      <alignment horizontal="right"/>
    </xf>
    <xf numFmtId="1" fontId="4" fillId="5" borderId="33" xfId="17" applyNumberFormat="1" applyFont="1" applyFill="1" applyBorder="1" applyAlignment="1">
      <alignment horizontal="right"/>
    </xf>
    <xf numFmtId="1" fontId="4" fillId="2" borderId="22" xfId="6" applyNumberFormat="1" applyFont="1" applyFill="1" applyBorder="1" applyAlignment="1">
      <alignment horizontal="right" wrapText="1"/>
    </xf>
    <xf numFmtId="1" fontId="4" fillId="5" borderId="20" xfId="15" applyNumberFormat="1" applyFont="1" applyFill="1" applyBorder="1" applyAlignment="1" applyProtection="1">
      <alignment horizontal="right"/>
    </xf>
    <xf numFmtId="1" fontId="4" fillId="5" borderId="22" xfId="15" applyNumberFormat="1" applyFont="1" applyFill="1" applyBorder="1" applyAlignment="1" applyProtection="1">
      <alignment horizontal="right"/>
    </xf>
    <xf numFmtId="1" fontId="4" fillId="5" borderId="99" xfId="15" applyNumberFormat="1" applyFont="1" applyFill="1" applyBorder="1" applyAlignment="1" applyProtection="1">
      <alignment horizontal="right"/>
    </xf>
    <xf numFmtId="1" fontId="4" fillId="4" borderId="104" xfId="15" applyNumberFormat="1" applyFont="1" applyFill="1" applyBorder="1" applyAlignment="1" applyProtection="1">
      <alignment horizontal="right"/>
      <protection locked="0"/>
    </xf>
    <xf numFmtId="1" fontId="4" fillId="4" borderId="34" xfId="15" applyNumberFormat="1" applyFont="1" applyFill="1" applyBorder="1" applyAlignment="1" applyProtection="1">
      <alignment horizontal="right"/>
      <protection locked="0"/>
    </xf>
    <xf numFmtId="1" fontId="4" fillId="2" borderId="118" xfId="17" applyNumberFormat="1" applyFont="1" applyFill="1" applyBorder="1" applyAlignment="1">
      <alignment horizontal="left"/>
    </xf>
    <xf numFmtId="1" fontId="4" fillId="2" borderId="37" xfId="17" applyNumberFormat="1" applyFont="1" applyFill="1" applyBorder="1" applyAlignment="1">
      <alignment horizontal="right"/>
    </xf>
    <xf numFmtId="1" fontId="4" fillId="2" borderId="43" xfId="6" applyNumberFormat="1" applyFont="1" applyFill="1" applyBorder="1" applyAlignment="1">
      <alignment horizontal="right" wrapText="1"/>
    </xf>
    <xf numFmtId="1" fontId="4" fillId="4" borderId="115" xfId="15" applyNumberFormat="1" applyFont="1" applyFill="1" applyBorder="1" applyAlignment="1" applyProtection="1">
      <alignment horizontal="right"/>
      <protection locked="0"/>
    </xf>
    <xf numFmtId="1" fontId="4" fillId="4" borderId="38" xfId="15" applyNumberFormat="1" applyFont="1" applyFill="1" applyBorder="1" applyAlignment="1" applyProtection="1">
      <alignment horizontal="right"/>
      <protection locked="0"/>
    </xf>
    <xf numFmtId="1" fontId="4" fillId="2" borderId="32" xfId="17" applyNumberFormat="1" applyFont="1" applyFill="1" applyBorder="1" applyAlignment="1">
      <alignment horizontal="right"/>
    </xf>
    <xf numFmtId="1" fontId="4" fillId="2" borderId="33" xfId="17" applyNumberFormat="1" applyFont="1" applyFill="1" applyBorder="1" applyAlignment="1">
      <alignment horizontal="right"/>
    </xf>
    <xf numFmtId="1" fontId="4" fillId="4" borderId="99" xfId="15" applyNumberFormat="1" applyFont="1" applyFill="1" applyBorder="1" applyAlignment="1" applyProtection="1">
      <alignment horizontal="right"/>
      <protection locked="0"/>
    </xf>
    <xf numFmtId="1" fontId="4" fillId="2" borderId="25" xfId="17" applyNumberFormat="1" applyFont="1" applyFill="1" applyBorder="1" applyAlignment="1">
      <alignment horizontal="left" vertical="center"/>
    </xf>
    <xf numFmtId="1" fontId="4" fillId="2" borderId="25" xfId="17" applyNumberFormat="1" applyFont="1" applyFill="1" applyBorder="1" applyAlignment="1">
      <alignment horizontal="left" vertical="center" wrapText="1"/>
    </xf>
    <xf numFmtId="1" fontId="4" fillId="2" borderId="25" xfId="17" applyNumberFormat="1" applyFont="1" applyFill="1" applyBorder="1" applyAlignment="1">
      <alignment horizontal="right"/>
    </xf>
    <xf numFmtId="1" fontId="4" fillId="2" borderId="32" xfId="17" applyNumberFormat="1" applyFont="1" applyFill="1" applyBorder="1" applyAlignment="1">
      <alignment horizontal="left" vertical="center"/>
    </xf>
    <xf numFmtId="1" fontId="4" fillId="2" borderId="65" xfId="17" applyNumberFormat="1" applyFont="1" applyFill="1" applyBorder="1" applyAlignment="1">
      <alignment horizontal="left" vertical="center" wrapText="1"/>
    </xf>
    <xf numFmtId="1" fontId="4" fillId="2" borderId="200" xfId="6" applyNumberFormat="1" applyFont="1" applyFill="1" applyBorder="1" applyAlignment="1">
      <alignment vertical="center" wrapText="1"/>
    </xf>
    <xf numFmtId="1" fontId="4" fillId="2" borderId="200" xfId="6" applyNumberFormat="1" applyFont="1" applyFill="1" applyBorder="1" applyAlignment="1">
      <alignment horizontal="right" wrapText="1"/>
    </xf>
    <xf numFmtId="1" fontId="4" fillId="2" borderId="203" xfId="6" applyNumberFormat="1" applyFont="1" applyFill="1" applyBorder="1" applyAlignment="1">
      <alignment horizontal="right" wrapText="1"/>
    </xf>
    <xf numFmtId="1" fontId="4" fillId="2" borderId="90" xfId="6" applyNumberFormat="1" applyFont="1" applyFill="1" applyBorder="1" applyAlignment="1">
      <alignment horizontal="right" wrapText="1"/>
    </xf>
    <xf numFmtId="1" fontId="4" fillId="4" borderId="203" xfId="15" applyNumberFormat="1" applyFont="1" applyFill="1" applyBorder="1" applyAlignment="1" applyProtection="1">
      <alignment horizontal="right"/>
      <protection locked="0"/>
    </xf>
    <xf numFmtId="1" fontId="4" fillId="4" borderId="94" xfId="15" applyNumberFormat="1" applyFont="1" applyFill="1" applyBorder="1" applyAlignment="1" applyProtection="1">
      <alignment horizontal="right"/>
      <protection locked="0"/>
    </xf>
    <xf numFmtId="1" fontId="4" fillId="4" borderId="100" xfId="15" applyNumberFormat="1" applyFont="1" applyFill="1" applyBorder="1" applyAlignment="1" applyProtection="1">
      <alignment horizontal="right"/>
      <protection locked="0"/>
    </xf>
    <xf numFmtId="1" fontId="4" fillId="0" borderId="0" xfId="18" applyNumberFormat="1" applyFont="1" applyBorder="1" applyAlignment="1" applyProtection="1">
      <protection hidden="1"/>
    </xf>
    <xf numFmtId="1" fontId="4" fillId="0" borderId="0" xfId="18" applyNumberFormat="1" applyFont="1" applyAlignment="1" applyProtection="1">
      <protection hidden="1"/>
    </xf>
    <xf numFmtId="1" fontId="4" fillId="2" borderId="0" xfId="18" applyNumberFormat="1" applyFont="1" applyFill="1" applyAlignment="1" applyProtection="1">
      <protection hidden="1"/>
    </xf>
    <xf numFmtId="1" fontId="4" fillId="3" borderId="200" xfId="18" applyNumberFormat="1" applyFont="1" applyFill="1" applyBorder="1" applyAlignment="1" applyProtection="1">
      <alignment horizontal="center" vertical="center" wrapText="1"/>
    </xf>
    <xf numFmtId="1" fontId="4" fillId="0" borderId="0" xfId="18" applyNumberFormat="1" applyFont="1" applyAlignment="1" applyProtection="1">
      <alignment horizontal="center" vertical="center"/>
      <protection hidden="1"/>
    </xf>
    <xf numFmtId="1" fontId="4" fillId="2" borderId="0" xfId="18" applyNumberFormat="1" applyFont="1" applyFill="1" applyAlignment="1" applyProtection="1">
      <alignment horizontal="center" vertical="center"/>
      <protection hidden="1"/>
    </xf>
    <xf numFmtId="1" fontId="4" fillId="0" borderId="44" xfId="18" applyNumberFormat="1" applyFont="1" applyBorder="1" applyAlignment="1" applyProtection="1"/>
    <xf numFmtId="1" fontId="2" fillId="0" borderId="0" xfId="18" applyNumberFormat="1" applyFont="1" applyAlignment="1" applyProtection="1">
      <protection hidden="1"/>
    </xf>
    <xf numFmtId="1" fontId="2" fillId="0" borderId="0" xfId="18" applyNumberFormat="1" applyFont="1" applyAlignment="1" applyProtection="1"/>
    <xf numFmtId="1" fontId="4" fillId="0" borderId="25" xfId="18" applyNumberFormat="1" applyFont="1" applyBorder="1" applyAlignment="1" applyProtection="1"/>
    <xf numFmtId="1" fontId="4" fillId="0" borderId="36" xfId="18" applyNumberFormat="1" applyFont="1" applyBorder="1" applyAlignment="1" applyProtection="1"/>
    <xf numFmtId="1" fontId="4" fillId="2" borderId="0" xfId="18" applyNumberFormat="1" applyFont="1" applyFill="1" applyBorder="1" applyAlignment="1" applyProtection="1">
      <protection hidden="1"/>
    </xf>
    <xf numFmtId="1" fontId="2" fillId="0" borderId="0" xfId="18" applyNumberFormat="1" applyFont="1" applyBorder="1" applyAlignment="1" applyProtection="1">
      <alignment horizontal="left"/>
    </xf>
    <xf numFmtId="1" fontId="4" fillId="0" borderId="0" xfId="18" applyNumberFormat="1" applyFont="1" applyAlignment="1" applyProtection="1"/>
    <xf numFmtId="1" fontId="4" fillId="0" borderId="206" xfId="18" applyNumberFormat="1" applyFont="1" applyBorder="1" applyAlignment="1" applyProtection="1">
      <alignment horizontal="center" vertical="center" wrapText="1"/>
    </xf>
    <xf numFmtId="1" fontId="4" fillId="0" borderId="25" xfId="18" applyNumberFormat="1" applyFont="1" applyBorder="1" applyAlignment="1" applyProtection="1">
      <alignment wrapText="1"/>
    </xf>
    <xf numFmtId="1" fontId="4" fillId="0" borderId="44" xfId="18" quotePrefix="1" applyNumberFormat="1" applyFont="1" applyBorder="1" applyAlignment="1" applyProtection="1"/>
    <xf numFmtId="1" fontId="4" fillId="0" borderId="201" xfId="18" applyNumberFormat="1" applyFont="1" applyBorder="1" applyAlignment="1" applyProtection="1">
      <alignment vertical="center"/>
    </xf>
    <xf numFmtId="1" fontId="4" fillId="0" borderId="198" xfId="18" applyNumberFormat="1" applyFont="1" applyBorder="1" applyAlignment="1" applyProtection="1">
      <alignment horizontal="center" vertical="center" wrapText="1"/>
    </xf>
    <xf numFmtId="1" fontId="4" fillId="0" borderId="0" xfId="18" applyNumberFormat="1" applyFont="1" applyBorder="1" applyAlignment="1" applyProtection="1"/>
    <xf numFmtId="1" fontId="4" fillId="3" borderId="0" xfId="18" applyNumberFormat="1" applyFont="1" applyFill="1" applyAlignment="1" applyProtection="1">
      <protection hidden="1"/>
    </xf>
    <xf numFmtId="1" fontId="4" fillId="0" borderId="0" xfId="6" applyNumberFormat="1" applyFont="1" applyAlignment="1">
      <alignment vertical="center" wrapText="1"/>
    </xf>
    <xf numFmtId="1" fontId="3" fillId="0" borderId="0" xfId="18" applyNumberFormat="1" applyFont="1" applyBorder="1" applyAlignment="1" applyProtection="1">
      <alignment vertical="center" wrapText="1"/>
      <protection hidden="1"/>
    </xf>
    <xf numFmtId="1" fontId="5" fillId="0" borderId="0" xfId="18" applyNumberFormat="1" applyFont="1" applyAlignment="1" applyProtection="1">
      <alignment vertical="center"/>
    </xf>
    <xf numFmtId="1" fontId="2" fillId="0" borderId="0" xfId="18" applyNumberFormat="1" applyFont="1" applyBorder="1" applyAlignment="1" applyProtection="1">
      <alignment horizontal="center" vertical="center"/>
      <protection hidden="1"/>
    </xf>
    <xf numFmtId="1" fontId="2" fillId="0" borderId="0" xfId="18" applyNumberFormat="1" applyFont="1" applyAlignment="1" applyProtection="1">
      <alignment horizontal="center" vertical="center"/>
    </xf>
    <xf numFmtId="1" fontId="2" fillId="0" borderId="0" xfId="18" applyNumberFormat="1" applyFont="1" applyAlignment="1" applyProtection="1">
      <alignment horizontal="center" vertical="center"/>
      <protection hidden="1"/>
    </xf>
    <xf numFmtId="1" fontId="4" fillId="0" borderId="0" xfId="18" applyNumberFormat="1" applyFont="1" applyAlignment="1" applyProtection="1">
      <alignment vertical="center"/>
      <protection hidden="1"/>
    </xf>
    <xf numFmtId="1" fontId="4" fillId="0" borderId="181" xfId="18" applyNumberFormat="1" applyFont="1" applyBorder="1" applyAlignment="1" applyProtection="1">
      <alignment horizontal="center" vertical="center" wrapText="1"/>
    </xf>
    <xf numFmtId="1" fontId="4" fillId="0" borderId="123" xfId="18" applyNumberFormat="1" applyFont="1" applyBorder="1" applyAlignment="1" applyProtection="1">
      <alignment horizontal="center" vertical="center" wrapText="1"/>
    </xf>
    <xf numFmtId="1" fontId="4" fillId="4" borderId="227" xfId="22" applyNumberFormat="1" applyFont="1" applyFill="1" applyBorder="1" applyAlignment="1">
      <alignment horizontal="right"/>
      <protection locked="0"/>
    </xf>
    <xf numFmtId="1" fontId="4" fillId="4" borderId="42" xfId="22" applyNumberFormat="1" applyFont="1" applyFill="1" applyBorder="1" applyAlignment="1">
      <alignment horizontal="right"/>
      <protection locked="0"/>
    </xf>
    <xf numFmtId="1" fontId="4" fillId="3" borderId="0" xfId="18" applyNumberFormat="1" applyFont="1" applyFill="1" applyAlignment="1" applyProtection="1">
      <alignment horizontal="center" vertical="center"/>
      <protection hidden="1"/>
    </xf>
    <xf numFmtId="1" fontId="4" fillId="0" borderId="0" xfId="18" applyNumberFormat="1" applyFont="1" applyAlignment="1" applyProtection="1">
      <alignment horizontal="left" vertical="center"/>
      <protection hidden="1"/>
    </xf>
    <xf numFmtId="1" fontId="4" fillId="0" borderId="121" xfId="18" applyNumberFormat="1" applyFont="1" applyBorder="1" applyAlignment="1" applyProtection="1"/>
    <xf numFmtId="1" fontId="4" fillId="0" borderId="131" xfId="18" applyNumberFormat="1" applyFont="1" applyBorder="1" applyAlignment="1" applyProtection="1">
      <alignment horizontal="right"/>
    </xf>
    <xf numFmtId="1" fontId="4" fillId="0" borderId="186" xfId="18" applyNumberFormat="1" applyFont="1" applyBorder="1" applyAlignment="1" applyProtection="1">
      <alignment horizontal="right"/>
    </xf>
    <xf numFmtId="1" fontId="4" fillId="0" borderId="123" xfId="18" applyNumberFormat="1" applyFont="1" applyBorder="1" applyAlignment="1" applyProtection="1">
      <alignment horizontal="right"/>
    </xf>
    <xf numFmtId="1" fontId="4" fillId="4" borderId="227" xfId="23" applyNumberFormat="1" applyFont="1" applyFill="1" applyBorder="1" applyAlignment="1">
      <alignment horizontal="right"/>
      <protection locked="0"/>
    </xf>
    <xf numFmtId="1" fontId="4" fillId="4" borderId="40" xfId="23" applyNumberFormat="1" applyFont="1" applyFill="1" applyBorder="1" applyAlignment="1">
      <alignment horizontal="right"/>
      <protection locked="0"/>
    </xf>
    <xf numFmtId="1" fontId="4" fillId="4" borderId="229" xfId="23" applyNumberFormat="1" applyFont="1" applyFill="1" applyBorder="1" applyAlignment="1">
      <alignment horizontal="right"/>
      <protection locked="0"/>
    </xf>
    <xf numFmtId="1" fontId="4" fillId="4" borderId="60" xfId="23" applyNumberFormat="1" applyFont="1" applyFill="1" applyBorder="1" applyAlignment="1">
      <alignment horizontal="right"/>
      <protection locked="0"/>
    </xf>
    <xf numFmtId="1" fontId="4" fillId="4" borderId="62" xfId="23" applyNumberFormat="1" applyFont="1" applyFill="1" applyBorder="1" applyAlignment="1">
      <alignment horizontal="right"/>
      <protection locked="0"/>
    </xf>
    <xf numFmtId="1" fontId="4" fillId="0" borderId="230" xfId="18" applyNumberFormat="1" applyFont="1" applyBorder="1" applyAlignment="1" applyProtection="1"/>
    <xf numFmtId="1" fontId="12" fillId="0" borderId="89" xfId="0" applyNumberFormat="1" applyFont="1" applyBorder="1"/>
    <xf numFmtId="1" fontId="12" fillId="0" borderId="202" xfId="0" applyNumberFormat="1" applyFont="1" applyBorder="1"/>
    <xf numFmtId="1" fontId="12" fillId="0" borderId="200" xfId="0" applyNumberFormat="1" applyFont="1" applyBorder="1"/>
    <xf numFmtId="1" fontId="4" fillId="0" borderId="131" xfId="24" applyNumberFormat="1" applyFont="1" applyFill="1" applyBorder="1" applyAlignment="1" applyProtection="1">
      <alignment horizontal="right"/>
    </xf>
    <xf numFmtId="1" fontId="4" fillId="0" borderId="202" xfId="19" applyNumberFormat="1" applyFont="1" applyFill="1" applyBorder="1" applyAlignment="1" applyProtection="1">
      <alignment horizontal="right"/>
    </xf>
    <xf numFmtId="1" fontId="4" fillId="0" borderId="200" xfId="19" applyNumberFormat="1" applyFont="1" applyFill="1" applyBorder="1" applyAlignment="1" applyProtection="1">
      <alignment horizontal="right"/>
    </xf>
    <xf numFmtId="1" fontId="4" fillId="0" borderId="0" xfId="24" applyNumberFormat="1" applyFont="1" applyFill="1" applyBorder="1" applyProtection="1">
      <protection hidden="1"/>
    </xf>
    <xf numFmtId="1" fontId="4" fillId="13" borderId="200" xfId="0" applyNumberFormat="1" applyFont="1" applyFill="1" applyBorder="1"/>
    <xf numFmtId="1" fontId="4" fillId="3" borderId="131" xfId="18" applyNumberFormat="1" applyFont="1" applyFill="1" applyBorder="1" applyAlignment="1" applyProtection="1">
      <alignment horizontal="center" vertical="center" wrapText="1"/>
    </xf>
    <xf numFmtId="1" fontId="4" fillId="3" borderId="202" xfId="18" applyNumberFormat="1" applyFont="1" applyFill="1" applyBorder="1" applyAlignment="1" applyProtection="1">
      <alignment horizontal="center" vertical="center" wrapText="1"/>
    </xf>
    <xf numFmtId="1" fontId="4" fillId="2" borderId="0" xfId="0" applyNumberFormat="1" applyFont="1" applyFill="1" applyProtection="1">
      <protection hidden="1"/>
    </xf>
    <xf numFmtId="1" fontId="5" fillId="3" borderId="3" xfId="0" applyNumberFormat="1" applyFont="1" applyFill="1" applyBorder="1"/>
    <xf numFmtId="1" fontId="2" fillId="3" borderId="3" xfId="0" applyNumberFormat="1" applyFont="1" applyFill="1" applyBorder="1"/>
    <xf numFmtId="0" fontId="4" fillId="0" borderId="200" xfId="0" applyFont="1" applyBorder="1" applyAlignment="1">
      <alignment horizontal="center" vertical="center" wrapText="1"/>
    </xf>
    <xf numFmtId="0" fontId="4" fillId="0" borderId="203" xfId="0" applyFont="1" applyBorder="1" applyAlignment="1">
      <alignment horizontal="center" vertical="center"/>
    </xf>
    <xf numFmtId="0" fontId="4" fillId="0" borderId="90" xfId="0" applyFont="1" applyBorder="1" applyAlignment="1">
      <alignment horizontal="center" vertical="center"/>
    </xf>
    <xf numFmtId="0" fontId="4" fillId="0" borderId="122" xfId="0" applyFont="1" applyBorder="1" applyAlignment="1">
      <alignment horizontal="center" vertical="center"/>
    </xf>
    <xf numFmtId="0" fontId="4" fillId="0" borderId="202" xfId="0" applyFont="1" applyBorder="1" applyAlignment="1">
      <alignment horizontal="center" vertical="center"/>
    </xf>
    <xf numFmtId="0" fontId="4" fillId="0" borderId="204" xfId="0" applyFont="1" applyBorder="1" applyAlignment="1">
      <alignment horizontal="center" vertical="center"/>
    </xf>
    <xf numFmtId="0" fontId="4" fillId="0" borderId="32" xfId="0" applyFont="1" applyBorder="1"/>
    <xf numFmtId="1" fontId="4" fillId="0" borderId="33" xfId="0" applyNumberFormat="1" applyFont="1" applyBorder="1" applyAlignment="1">
      <alignment horizontal="right"/>
    </xf>
    <xf numFmtId="1" fontId="4" fillId="0" borderId="13" xfId="0" applyNumberFormat="1" applyFont="1" applyBorder="1" applyAlignment="1">
      <alignment horizontal="right"/>
    </xf>
    <xf numFmtId="1" fontId="4" fillId="0" borderId="20" xfId="0" applyNumberFormat="1" applyFont="1" applyBorder="1" applyAlignment="1">
      <alignment horizontal="right"/>
    </xf>
    <xf numFmtId="1" fontId="4" fillId="0" borderId="90" xfId="0" applyNumberFormat="1" applyFont="1" applyBorder="1" applyAlignment="1">
      <alignment horizontal="right"/>
    </xf>
    <xf numFmtId="1" fontId="4" fillId="0" borderId="35" xfId="0" applyNumberFormat="1" applyFont="1" applyBorder="1" applyAlignment="1">
      <alignment horizontal="right"/>
    </xf>
    <xf numFmtId="1" fontId="4" fillId="0" borderId="26" xfId="0" applyNumberFormat="1" applyFont="1" applyBorder="1" applyAlignment="1">
      <alignment horizontal="right"/>
    </xf>
    <xf numFmtId="1" fontId="4" fillId="0" borderId="30" xfId="0" applyNumberFormat="1" applyFont="1" applyBorder="1" applyAlignment="1">
      <alignment horizontal="right"/>
    </xf>
    <xf numFmtId="1" fontId="4" fillId="0" borderId="37" xfId="0" applyNumberFormat="1" applyFont="1" applyBorder="1" applyAlignment="1">
      <alignment horizontal="right"/>
    </xf>
    <xf numFmtId="1" fontId="4" fillId="0" borderId="42" xfId="0" applyNumberFormat="1" applyFont="1" applyBorder="1" applyAlignment="1">
      <alignment horizontal="right"/>
    </xf>
    <xf numFmtId="1" fontId="4" fillId="0" borderId="66" xfId="0" applyNumberFormat="1" applyFont="1" applyBorder="1" applyAlignment="1">
      <alignment horizontal="right"/>
    </xf>
    <xf numFmtId="1" fontId="4" fillId="0" borderId="69" xfId="0" applyNumberFormat="1" applyFont="1" applyBorder="1" applyAlignment="1">
      <alignment horizontal="right"/>
    </xf>
    <xf numFmtId="1" fontId="4" fillId="5" borderId="68" xfId="0" applyNumberFormat="1" applyFont="1" applyFill="1" applyBorder="1" applyAlignment="1">
      <alignment horizontal="right"/>
    </xf>
    <xf numFmtId="1" fontId="4" fillId="5" borderId="69" xfId="0" applyNumberFormat="1" applyFont="1" applyFill="1" applyBorder="1" applyAlignment="1">
      <alignment horizontal="right"/>
    </xf>
    <xf numFmtId="1" fontId="4" fillId="4" borderId="59" xfId="0" applyNumberFormat="1" applyFont="1" applyFill="1" applyBorder="1" applyAlignment="1" applyProtection="1">
      <alignment horizontal="right"/>
      <protection locked="0"/>
    </xf>
    <xf numFmtId="0" fontId="4" fillId="5" borderId="23" xfId="0" applyFont="1" applyFill="1" applyBorder="1" applyAlignment="1">
      <alignment horizontal="right"/>
    </xf>
    <xf numFmtId="0" fontId="4" fillId="5" borderId="30" xfId="0" applyFont="1" applyFill="1" applyBorder="1" applyAlignment="1">
      <alignment horizontal="right"/>
    </xf>
    <xf numFmtId="0" fontId="4" fillId="0" borderId="44" xfId="0" applyFont="1" applyBorder="1" applyAlignment="1">
      <alignment horizontal="left" vertical="center" wrapText="1"/>
    </xf>
    <xf numFmtId="1" fontId="4" fillId="0" borderId="45" xfId="0" applyNumberFormat="1" applyFont="1" applyBorder="1" applyAlignment="1">
      <alignment horizontal="right"/>
    </xf>
    <xf numFmtId="1" fontId="4" fillId="0" borderId="49" xfId="0" applyNumberFormat="1" applyFont="1" applyBorder="1" applyAlignment="1">
      <alignment horizontal="right"/>
    </xf>
    <xf numFmtId="0" fontId="4" fillId="5" borderId="48" xfId="0" applyFont="1" applyFill="1" applyBorder="1" applyAlignment="1">
      <alignment horizontal="right"/>
    </xf>
    <xf numFmtId="0" fontId="4" fillId="5" borderId="49" xfId="0" applyFont="1" applyFill="1" applyBorder="1" applyAlignment="1">
      <alignment horizontal="right"/>
    </xf>
    <xf numFmtId="0" fontId="4" fillId="5" borderId="47" xfId="0" applyFont="1" applyFill="1" applyBorder="1" applyAlignment="1">
      <alignment horizontal="right"/>
    </xf>
    <xf numFmtId="0" fontId="4" fillId="5" borderId="117" xfId="0" applyFont="1" applyFill="1" applyBorder="1" applyAlignment="1">
      <alignment horizontal="right"/>
    </xf>
    <xf numFmtId="0" fontId="4" fillId="3" borderId="36" xfId="0" applyFont="1" applyFill="1" applyBorder="1"/>
    <xf numFmtId="1" fontId="7" fillId="0" borderId="200" xfId="1" applyNumberFormat="1" applyFont="1" applyBorder="1"/>
    <xf numFmtId="1" fontId="19" fillId="3" borderId="61" xfId="2" applyNumberFormat="1" applyFont="1" applyFill="1" applyBorder="1" applyAlignment="1">
      <alignment horizontal="right"/>
    </xf>
    <xf numFmtId="1" fontId="19" fillId="3" borderId="23" xfId="2" applyNumberFormat="1" applyFont="1" applyFill="1" applyBorder="1" applyAlignment="1">
      <alignment horizontal="right"/>
    </xf>
    <xf numFmtId="1" fontId="19" fillId="3" borderId="231" xfId="2" applyNumberFormat="1" applyFont="1" applyFill="1" applyBorder="1" applyAlignment="1">
      <alignment horizontal="right"/>
    </xf>
    <xf numFmtId="0" fontId="0" fillId="0" borderId="236" xfId="0" applyBorder="1"/>
    <xf numFmtId="0" fontId="0" fillId="0" borderId="237" xfId="0" applyBorder="1"/>
    <xf numFmtId="0" fontId="0" fillId="0" borderId="238" xfId="0" applyBorder="1"/>
    <xf numFmtId="0" fontId="0" fillId="0" borderId="239" xfId="0" applyBorder="1"/>
    <xf numFmtId="0" fontId="0" fillId="0" borderId="240" xfId="0" applyBorder="1"/>
    <xf numFmtId="0" fontId="0" fillId="0" borderId="241" xfId="0" applyBorder="1"/>
    <xf numFmtId="0" fontId="0" fillId="0" borderId="242" xfId="0" applyBorder="1"/>
    <xf numFmtId="0" fontId="0" fillId="22" borderId="234" xfId="0" applyFill="1" applyBorder="1"/>
    <xf numFmtId="0" fontId="0" fillId="22" borderId="233" xfId="0" applyFill="1" applyBorder="1"/>
    <xf numFmtId="0" fontId="0" fillId="0" borderId="0" xfId="0" applyFill="1" applyBorder="1"/>
    <xf numFmtId="0" fontId="0" fillId="0" borderId="243" xfId="0" applyBorder="1"/>
    <xf numFmtId="0" fontId="0" fillId="0" borderId="244" xfId="0" applyBorder="1"/>
    <xf numFmtId="0" fontId="0" fillId="0" borderId="245" xfId="0" applyBorder="1"/>
    <xf numFmtId="0" fontId="0" fillId="0" borderId="246" xfId="0" applyBorder="1"/>
    <xf numFmtId="0" fontId="0" fillId="0" borderId="244" xfId="0" applyFill="1" applyBorder="1"/>
    <xf numFmtId="1" fontId="4" fillId="0" borderId="30" xfId="2" applyNumberFormat="1" applyFont="1" applyBorder="1" applyAlignment="1" applyProtection="1">
      <alignment horizontal="left" vertical="center" wrapText="1"/>
      <protection hidden="1"/>
    </xf>
    <xf numFmtId="1" fontId="4" fillId="0" borderId="0" xfId="0" applyNumberFormat="1" applyFont="1" applyAlignment="1">
      <alignment horizontal="center" vertical="center" wrapText="1"/>
    </xf>
    <xf numFmtId="1" fontId="5" fillId="0" borderId="0" xfId="2" applyNumberFormat="1" applyFont="1" applyAlignment="1" applyProtection="1">
      <alignment horizontal="left"/>
      <protection hidden="1"/>
    </xf>
    <xf numFmtId="1" fontId="4" fillId="0" borderId="0" xfId="6" applyNumberFormat="1" applyFont="1" applyAlignment="1">
      <alignment horizontal="center" vertical="center" wrapText="1"/>
    </xf>
    <xf numFmtId="1" fontId="4" fillId="3" borderId="123" xfId="0" applyNumberFormat="1" applyFont="1" applyFill="1" applyBorder="1" applyAlignment="1" applyProtection="1">
      <alignment horizontal="center" vertical="center" wrapText="1"/>
      <protection hidden="1"/>
    </xf>
    <xf numFmtId="0" fontId="4" fillId="0" borderId="75" xfId="0" applyFont="1" applyBorder="1" applyAlignment="1">
      <alignment horizontal="center" vertical="center" wrapText="1"/>
    </xf>
    <xf numFmtId="1" fontId="4" fillId="0" borderId="0" xfId="0" applyNumberFormat="1" applyFont="1" applyAlignment="1">
      <alignment horizontal="center" vertical="center" wrapText="1"/>
    </xf>
    <xf numFmtId="0" fontId="4" fillId="0" borderId="113" xfId="0" applyFont="1" applyBorder="1" applyAlignment="1">
      <alignment vertical="center"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114" xfId="0" applyFont="1" applyBorder="1" applyAlignment="1">
      <alignment vertical="center" wrapText="1"/>
    </xf>
    <xf numFmtId="0" fontId="4" fillId="0" borderId="49" xfId="0" applyFont="1" applyBorder="1" applyAlignment="1">
      <alignment vertical="center" wrapText="1"/>
    </xf>
    <xf numFmtId="1" fontId="4" fillId="3" borderId="199" xfId="0" applyNumberFormat="1" applyFont="1" applyFill="1" applyBorder="1" applyAlignment="1">
      <alignment horizontal="center" vertical="center"/>
    </xf>
    <xf numFmtId="1" fontId="5" fillId="0" borderId="0" xfId="2" applyNumberFormat="1" applyFont="1" applyAlignment="1" applyProtection="1">
      <alignment horizontal="left"/>
      <protection hidden="1"/>
    </xf>
    <xf numFmtId="1" fontId="7" fillId="3" borderId="3" xfId="0" applyNumberFormat="1" applyFont="1" applyFill="1" applyBorder="1" applyAlignment="1">
      <alignment horizontal="center" vertical="center" wrapText="1"/>
    </xf>
    <xf numFmtId="1" fontId="4" fillId="0" borderId="69" xfId="0" applyNumberFormat="1" applyFont="1" applyBorder="1" applyAlignment="1">
      <alignment horizontal="left" vertical="center" wrapText="1"/>
    </xf>
    <xf numFmtId="1" fontId="4" fillId="0" borderId="0" xfId="2" applyNumberFormat="1" applyFont="1" applyAlignment="1" applyProtection="1">
      <alignment horizontal="center" vertical="center" wrapText="1"/>
      <protection hidden="1"/>
    </xf>
    <xf numFmtId="1" fontId="4" fillId="0" borderId="17" xfId="2" applyNumberFormat="1" applyFont="1" applyBorder="1" applyAlignment="1" applyProtection="1">
      <alignment horizontal="center" vertical="center"/>
      <protection hidden="1"/>
    </xf>
    <xf numFmtId="1" fontId="4" fillId="0" borderId="202" xfId="2" applyNumberFormat="1" applyFont="1" applyBorder="1" applyAlignment="1" applyProtection="1">
      <alignment horizontal="center" vertical="center"/>
      <protection hidden="1"/>
    </xf>
    <xf numFmtId="3" fontId="4" fillId="0" borderId="123" xfId="2" applyNumberFormat="1" applyFont="1" applyBorder="1"/>
    <xf numFmtId="1" fontId="4" fillId="0" borderId="17" xfId="2" applyNumberFormat="1" applyFont="1" applyBorder="1" applyAlignment="1">
      <alignment horizontal="right"/>
    </xf>
    <xf numFmtId="1" fontId="4" fillId="0" borderId="202" xfId="2" applyNumberFormat="1" applyFont="1" applyBorder="1" applyAlignment="1">
      <alignment horizontal="right"/>
    </xf>
    <xf numFmtId="1" fontId="4" fillId="0" borderId="197" xfId="2" applyNumberFormat="1" applyFont="1" applyBorder="1" applyAlignment="1">
      <alignment horizontal="right"/>
    </xf>
    <xf numFmtId="1" fontId="4" fillId="0" borderId="197" xfId="2" applyNumberFormat="1" applyFont="1" applyBorder="1" applyAlignment="1" applyProtection="1">
      <alignment horizontal="center" vertical="center"/>
      <protection hidden="1"/>
    </xf>
    <xf numFmtId="1" fontId="4" fillId="3" borderId="123" xfId="2" applyNumberFormat="1" applyFont="1" applyFill="1" applyBorder="1" applyAlignment="1" applyProtection="1">
      <alignment horizontal="center" vertical="center" wrapText="1"/>
      <protection hidden="1"/>
    </xf>
    <xf numFmtId="1" fontId="4" fillId="3" borderId="48" xfId="2" applyNumberFormat="1" applyFont="1" applyFill="1" applyBorder="1" applyAlignment="1">
      <alignment horizontal="right"/>
    </xf>
    <xf numFmtId="1" fontId="4" fillId="0" borderId="197" xfId="0" applyNumberFormat="1" applyFont="1" applyBorder="1"/>
    <xf numFmtId="1" fontId="2" fillId="0" borderId="230" xfId="2" applyNumberFormat="1" applyFont="1" applyBorder="1" applyAlignment="1" applyProtection="1">
      <alignment vertical="center"/>
      <protection hidden="1"/>
    </xf>
    <xf numFmtId="1" fontId="2" fillId="0" borderId="205" xfId="2" applyNumberFormat="1" applyFont="1" applyBorder="1" applyAlignment="1" applyProtection="1">
      <alignment vertical="center"/>
      <protection hidden="1"/>
    </xf>
    <xf numFmtId="0" fontId="4" fillId="0" borderId="197" xfId="0" applyFont="1" applyBorder="1" applyAlignment="1" applyProtection="1">
      <alignment horizontal="left"/>
      <protection hidden="1"/>
    </xf>
    <xf numFmtId="1" fontId="4" fillId="0" borderId="123" xfId="3" applyNumberFormat="1" applyFont="1" applyBorder="1" applyAlignment="1" applyProtection="1">
      <alignment vertical="center" wrapText="1"/>
      <protection hidden="1"/>
    </xf>
    <xf numFmtId="3" fontId="4" fillId="0" borderId="123" xfId="2" applyNumberFormat="1" applyFont="1" applyBorder="1" applyAlignment="1">
      <alignment wrapText="1"/>
    </xf>
    <xf numFmtId="1" fontId="4" fillId="3" borderId="41" xfId="2" applyNumberFormat="1" applyFont="1" applyFill="1" applyBorder="1" applyAlignment="1">
      <alignment horizontal="right"/>
    </xf>
    <xf numFmtId="3" fontId="4" fillId="3" borderId="36" xfId="2" applyNumberFormat="1" applyFont="1" applyFill="1" applyBorder="1"/>
    <xf numFmtId="3" fontId="4" fillId="3" borderId="44" xfId="2" applyNumberFormat="1" applyFont="1" applyFill="1" applyBorder="1"/>
    <xf numFmtId="3" fontId="4" fillId="3" borderId="65" xfId="2" applyNumberFormat="1" applyFont="1" applyFill="1" applyBorder="1"/>
    <xf numFmtId="1" fontId="4" fillId="15" borderId="123" xfId="0" applyNumberFormat="1" applyFont="1" applyFill="1" applyBorder="1"/>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21" xfId="0" applyFont="1" applyBorder="1" applyAlignment="1">
      <alignment horizontal="center" vertical="center"/>
    </xf>
    <xf numFmtId="1" fontId="5" fillId="0" borderId="1" xfId="0" applyNumberFormat="1" applyFont="1" applyBorder="1" applyAlignment="1" applyProtection="1">
      <alignment horizontal="left"/>
      <protection hidden="1"/>
    </xf>
    <xf numFmtId="1" fontId="5" fillId="0" borderId="0" xfId="0" applyNumberFormat="1" applyFont="1" applyAlignment="1" applyProtection="1">
      <alignment horizontal="left"/>
      <protection hidden="1"/>
    </xf>
    <xf numFmtId="0" fontId="5" fillId="0" borderId="124" xfId="0" applyFont="1" applyBorder="1" applyAlignment="1">
      <alignment horizontal="left" vertical="center"/>
    </xf>
    <xf numFmtId="0" fontId="5" fillId="0" borderId="7" xfId="0" applyFont="1" applyBorder="1" applyAlignment="1">
      <alignment horizontal="left" vertical="center"/>
    </xf>
    <xf numFmtId="0" fontId="4" fillId="0" borderId="1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1" fontId="7" fillId="3" borderId="114" xfId="0" applyNumberFormat="1" applyFont="1" applyFill="1" applyBorder="1" applyAlignment="1" applyProtection="1">
      <alignment horizontal="left" vertical="center" wrapText="1"/>
      <protection hidden="1"/>
    </xf>
    <xf numFmtId="1" fontId="7" fillId="3" borderId="49" xfId="0" applyNumberFormat="1" applyFont="1" applyFill="1" applyBorder="1" applyAlignment="1" applyProtection="1">
      <alignment horizontal="left" vertical="center" wrapText="1"/>
      <protection hidden="1"/>
    </xf>
    <xf numFmtId="0" fontId="4" fillId="0" borderId="71" xfId="0" applyFont="1" applyBorder="1" applyAlignment="1">
      <alignment horizontal="center" vertical="center" wrapText="1"/>
    </xf>
    <xf numFmtId="1" fontId="4" fillId="3" borderId="119" xfId="0" applyNumberFormat="1" applyFont="1" applyFill="1" applyBorder="1" applyAlignment="1" applyProtection="1">
      <alignment horizontal="left" vertical="center" wrapText="1"/>
      <protection hidden="1"/>
    </xf>
    <xf numFmtId="1" fontId="4" fillId="3" borderId="69" xfId="0" applyNumberFormat="1" applyFont="1" applyFill="1" applyBorder="1" applyAlignment="1" applyProtection="1">
      <alignment horizontal="left" vertical="center" wrapText="1"/>
      <protection hidden="1"/>
    </xf>
    <xf numFmtId="1" fontId="5" fillId="0" borderId="120" xfId="0" applyNumberFormat="1" applyFont="1" applyBorder="1" applyAlignment="1" applyProtection="1">
      <alignment horizontal="left"/>
      <protection hidden="1"/>
    </xf>
    <xf numFmtId="1" fontId="5" fillId="0" borderId="7" xfId="0" applyNumberFormat="1" applyFont="1" applyBorder="1" applyAlignment="1" applyProtection="1">
      <alignment horizontal="left"/>
      <protection hidden="1"/>
    </xf>
    <xf numFmtId="1" fontId="4" fillId="0" borderId="64" xfId="0" applyNumberFormat="1" applyFont="1" applyBorder="1" applyAlignment="1" applyProtection="1">
      <alignment horizontal="center" vertical="center" wrapText="1"/>
      <protection hidden="1"/>
    </xf>
    <xf numFmtId="1" fontId="4" fillId="0" borderId="32" xfId="0" applyNumberFormat="1" applyFont="1" applyBorder="1" applyAlignment="1" applyProtection="1">
      <alignment horizontal="center" vertical="center" wrapText="1"/>
      <protection hidden="1"/>
    </xf>
    <xf numFmtId="1" fontId="4" fillId="0" borderId="121" xfId="0" applyNumberFormat="1" applyFont="1" applyBorder="1" applyAlignment="1" applyProtection="1">
      <alignment horizontal="center" vertical="center" wrapText="1"/>
      <protection hidden="1"/>
    </xf>
    <xf numFmtId="1" fontId="4" fillId="0" borderId="10" xfId="0" applyNumberFormat="1" applyFont="1" applyBorder="1" applyAlignment="1" applyProtection="1">
      <alignment horizontal="center" vertical="center" wrapText="1"/>
      <protection hidden="1"/>
    </xf>
    <xf numFmtId="1" fontId="4" fillId="3" borderId="20" xfId="0" applyNumberFormat="1" applyFont="1" applyFill="1" applyBorder="1" applyAlignment="1" applyProtection="1">
      <alignment horizontal="center" vertical="center" wrapText="1"/>
      <protection hidden="1"/>
    </xf>
    <xf numFmtId="1" fontId="4" fillId="3" borderId="22" xfId="0" applyNumberFormat="1" applyFont="1" applyFill="1" applyBorder="1" applyAlignment="1" applyProtection="1">
      <alignment horizontal="center" vertical="center" wrapText="1"/>
      <protection hidden="1"/>
    </xf>
    <xf numFmtId="1" fontId="5" fillId="0" borderId="2" xfId="0" applyNumberFormat="1" applyFont="1" applyBorder="1" applyAlignment="1" applyProtection="1">
      <alignment horizontal="left"/>
      <protection hidden="1"/>
    </xf>
    <xf numFmtId="1" fontId="5" fillId="0" borderId="3" xfId="0" applyNumberFormat="1" applyFont="1" applyBorder="1" applyAlignment="1" applyProtection="1">
      <alignment horizontal="left"/>
      <protection hidden="1"/>
    </xf>
    <xf numFmtId="0" fontId="4" fillId="0" borderId="123" xfId="0" applyFont="1" applyBorder="1" applyAlignment="1">
      <alignment horizontal="center" wrapText="1"/>
    </xf>
    <xf numFmtId="1" fontId="4" fillId="0" borderId="6" xfId="0" applyNumberFormat="1" applyFont="1" applyBorder="1" applyAlignment="1" applyProtection="1">
      <alignment horizontal="center" vertical="center" wrapText="1"/>
      <protection hidden="1"/>
    </xf>
    <xf numFmtId="1" fontId="4" fillId="0" borderId="7" xfId="0" applyNumberFormat="1" applyFont="1" applyBorder="1" applyAlignment="1" applyProtection="1">
      <alignment horizontal="center" vertical="center" wrapText="1"/>
      <protection hidden="1"/>
    </xf>
    <xf numFmtId="1" fontId="4" fillId="0" borderId="71" xfId="0" applyNumberFormat="1" applyFont="1" applyBorder="1" applyAlignment="1" applyProtection="1">
      <alignment horizontal="center" vertical="center" wrapText="1"/>
      <protection hidden="1"/>
    </xf>
    <xf numFmtId="1" fontId="5" fillId="0" borderId="111" xfId="0" applyNumberFormat="1" applyFont="1" applyBorder="1" applyAlignment="1" applyProtection="1">
      <alignment horizontal="left"/>
      <protection hidden="1"/>
    </xf>
    <xf numFmtId="1" fontId="5" fillId="0" borderId="112" xfId="0" applyNumberFormat="1" applyFont="1" applyBorder="1" applyAlignment="1" applyProtection="1">
      <alignment horizontal="left"/>
      <protection hidden="1"/>
    </xf>
    <xf numFmtId="1" fontId="4" fillId="0" borderId="112" xfId="0" applyNumberFormat="1" applyFont="1" applyBorder="1" applyAlignment="1" applyProtection="1">
      <alignment horizontal="left" vertical="center" wrapText="1"/>
      <protection hidden="1"/>
    </xf>
    <xf numFmtId="1" fontId="4" fillId="0" borderId="4" xfId="0" quotePrefix="1" applyNumberFormat="1" applyFont="1" applyBorder="1" applyAlignment="1" applyProtection="1">
      <alignment horizontal="center" vertical="center"/>
      <protection hidden="1"/>
    </xf>
    <xf numFmtId="1" fontId="4" fillId="0" borderId="5" xfId="0" quotePrefix="1" applyNumberFormat="1" applyFont="1" applyBorder="1" applyAlignment="1" applyProtection="1">
      <alignment horizontal="center" vertical="center"/>
      <protection hidden="1"/>
    </xf>
    <xf numFmtId="1" fontId="4" fillId="0" borderId="12" xfId="0" quotePrefix="1" applyNumberFormat="1" applyFont="1" applyBorder="1" applyAlignment="1" applyProtection="1">
      <alignment horizontal="center" vertical="center"/>
      <protection hidden="1"/>
    </xf>
    <xf numFmtId="1" fontId="4" fillId="0" borderId="13" xfId="0" quotePrefix="1" applyNumberFormat="1" applyFont="1" applyBorder="1" applyAlignment="1" applyProtection="1">
      <alignment horizontal="center" vertical="center"/>
      <protection hidden="1"/>
    </xf>
    <xf numFmtId="1" fontId="4" fillId="0" borderId="4" xfId="0" applyNumberFormat="1" applyFont="1" applyBorder="1" applyAlignment="1" applyProtection="1">
      <alignment horizontal="center" vertical="center"/>
      <protection hidden="1"/>
    </xf>
    <xf numFmtId="1" fontId="4" fillId="0" borderId="12" xfId="0" applyNumberFormat="1" applyFont="1" applyBorder="1" applyAlignment="1" applyProtection="1">
      <alignment horizontal="center" vertical="center"/>
      <protection hidden="1"/>
    </xf>
    <xf numFmtId="1" fontId="4" fillId="0" borderId="6" xfId="0" applyNumberFormat="1"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1" fontId="4" fillId="3" borderId="123" xfId="0" applyNumberFormat="1" applyFont="1" applyFill="1" applyBorder="1" applyAlignment="1">
      <alignment horizontal="center" vertical="center" wrapText="1"/>
    </xf>
    <xf numFmtId="1" fontId="4" fillId="3" borderId="123" xfId="0" applyNumberFormat="1" applyFont="1" applyFill="1" applyBorder="1" applyAlignment="1" applyProtection="1">
      <alignment horizontal="center" vertical="center" wrapText="1"/>
      <protection hidden="1"/>
    </xf>
    <xf numFmtId="1" fontId="7" fillId="3" borderId="113" xfId="0" applyNumberFormat="1" applyFont="1" applyFill="1" applyBorder="1" applyAlignment="1" applyProtection="1">
      <alignment horizontal="left"/>
      <protection hidden="1"/>
    </xf>
    <xf numFmtId="1" fontId="7" fillId="3" borderId="30" xfId="0" applyNumberFormat="1" applyFont="1" applyFill="1" applyBorder="1" applyAlignment="1" applyProtection="1">
      <alignment horizontal="left"/>
      <protection hidden="1"/>
    </xf>
    <xf numFmtId="1" fontId="7" fillId="0" borderId="123" xfId="0" applyNumberFormat="1" applyFont="1" applyBorder="1" applyAlignment="1">
      <alignment horizontal="center" vertical="center" wrapText="1"/>
    </xf>
    <xf numFmtId="1" fontId="4" fillId="0" borderId="88" xfId="0" applyNumberFormat="1" applyFont="1" applyBorder="1" applyAlignment="1" applyProtection="1">
      <alignment horizontal="center" vertical="center" wrapText="1"/>
      <protection hidden="1"/>
    </xf>
    <xf numFmtId="1" fontId="4" fillId="3" borderId="64" xfId="0" applyNumberFormat="1" applyFont="1" applyFill="1" applyBorder="1" applyAlignment="1" applyProtection="1">
      <alignment horizontal="center" vertical="center" wrapText="1"/>
      <protection hidden="1"/>
    </xf>
    <xf numFmtId="1" fontId="4" fillId="3" borderId="32" xfId="0" applyNumberFormat="1" applyFont="1" applyFill="1" applyBorder="1" applyAlignment="1" applyProtection="1">
      <alignment horizontal="center" vertical="center" wrapText="1"/>
      <protection hidden="1"/>
    </xf>
    <xf numFmtId="1" fontId="4" fillId="3" borderId="103" xfId="0" applyNumberFormat="1" applyFont="1" applyFill="1" applyBorder="1" applyAlignment="1">
      <alignment horizontal="center" vertical="center" wrapText="1"/>
    </xf>
    <xf numFmtId="1" fontId="4" fillId="3" borderId="104" xfId="0" applyNumberFormat="1" applyFont="1" applyFill="1" applyBorder="1" applyAlignment="1">
      <alignment horizontal="center" vertical="center" wrapText="1"/>
    </xf>
    <xf numFmtId="1" fontId="4" fillId="0" borderId="129" xfId="0" applyNumberFormat="1" applyFont="1" applyBorder="1" applyAlignment="1" applyProtection="1">
      <alignment horizontal="center" vertical="center" wrapText="1"/>
      <protection hidden="1"/>
    </xf>
    <xf numFmtId="1" fontId="4" fillId="3" borderId="9" xfId="0" applyNumberFormat="1" applyFont="1" applyFill="1" applyBorder="1" applyAlignment="1" applyProtection="1">
      <alignment horizontal="center" vertical="center" wrapText="1"/>
      <protection hidden="1"/>
    </xf>
    <xf numFmtId="1" fontId="4" fillId="3" borderId="19" xfId="0" applyNumberFormat="1" applyFont="1" applyFill="1" applyBorder="1" applyAlignment="1" applyProtection="1">
      <alignment horizontal="center" vertical="center" wrapText="1"/>
      <protection hidden="1"/>
    </xf>
    <xf numFmtId="1" fontId="4" fillId="0" borderId="64" xfId="0" applyNumberFormat="1" applyFont="1" applyBorder="1" applyAlignment="1" applyProtection="1">
      <alignment horizontal="center" vertical="center"/>
      <protection hidden="1"/>
    </xf>
    <xf numFmtId="1" fontId="4" fillId="0" borderId="32" xfId="0" applyNumberFormat="1" applyFont="1" applyBorder="1" applyAlignment="1" applyProtection="1">
      <alignment horizontal="center" vertical="center"/>
      <protection hidden="1"/>
    </xf>
    <xf numFmtId="1" fontId="4" fillId="3" borderId="7" xfId="0" applyNumberFormat="1" applyFont="1" applyFill="1" applyBorder="1" applyAlignment="1" applyProtection="1">
      <alignment horizontal="left" vertical="center" wrapText="1"/>
      <protection hidden="1"/>
    </xf>
    <xf numFmtId="1" fontId="4" fillId="3" borderId="10" xfId="0" applyNumberFormat="1" applyFont="1" applyFill="1" applyBorder="1" applyAlignment="1" applyProtection="1">
      <alignment horizontal="left" vertical="center" wrapText="1"/>
      <protection hidden="1"/>
    </xf>
    <xf numFmtId="1" fontId="7" fillId="3" borderId="121" xfId="0" applyNumberFormat="1" applyFont="1" applyFill="1" applyBorder="1" applyAlignment="1">
      <alignment horizontal="left" vertical="center"/>
    </xf>
    <xf numFmtId="1" fontId="7" fillId="3" borderId="10" xfId="0" applyNumberFormat="1" applyFont="1" applyFill="1" applyBorder="1" applyAlignment="1">
      <alignment horizontal="left" vertical="center"/>
    </xf>
    <xf numFmtId="1" fontId="4" fillId="3" borderId="127" xfId="0" applyNumberFormat="1" applyFont="1" applyFill="1" applyBorder="1" applyAlignment="1" applyProtection="1">
      <alignment horizontal="center" vertical="center" wrapText="1"/>
      <protection hidden="1"/>
    </xf>
    <xf numFmtId="1" fontId="4" fillId="3" borderId="128" xfId="0" applyNumberFormat="1" applyFont="1" applyFill="1" applyBorder="1" applyAlignment="1" applyProtection="1">
      <alignment horizontal="center" vertical="center" wrapText="1"/>
      <protection hidden="1"/>
    </xf>
    <xf numFmtId="1" fontId="4" fillId="0" borderId="92"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1" fontId="7" fillId="3" borderId="232" xfId="0" applyNumberFormat="1" applyFont="1" applyFill="1" applyBorder="1" applyAlignment="1">
      <alignment horizontal="center" vertical="center" wrapText="1"/>
    </xf>
    <xf numFmtId="1" fontId="7" fillId="3" borderId="205" xfId="0" applyNumberFormat="1" applyFont="1" applyFill="1" applyBorder="1" applyAlignment="1">
      <alignment horizontal="center" vertical="center" wrapText="1"/>
    </xf>
    <xf numFmtId="1" fontId="7" fillId="3" borderId="199" xfId="0" applyNumberFormat="1" applyFont="1" applyFill="1" applyBorder="1" applyAlignment="1">
      <alignment horizontal="center" vertical="center" wrapText="1"/>
    </xf>
    <xf numFmtId="1" fontId="4" fillId="0" borderId="31" xfId="0" applyNumberFormat="1" applyFont="1" applyBorder="1" applyAlignment="1" applyProtection="1">
      <alignment horizontal="center" vertical="center" wrapText="1"/>
      <protection hidden="1"/>
    </xf>
    <xf numFmtId="1" fontId="4" fillId="0" borderId="12"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1" fontId="5" fillId="0" borderId="91" xfId="0" applyNumberFormat="1" applyFont="1" applyBorder="1" applyAlignment="1" applyProtection="1">
      <alignment horizontal="left"/>
      <protection hidden="1"/>
    </xf>
    <xf numFmtId="1" fontId="4" fillId="0" borderId="92" xfId="0" applyNumberFormat="1" applyFont="1" applyBorder="1" applyAlignment="1" applyProtection="1">
      <alignment horizontal="center" vertical="center"/>
      <protection hidden="1"/>
    </xf>
    <xf numFmtId="1" fontId="4" fillId="0" borderId="8" xfId="0" applyNumberFormat="1" applyFont="1" applyBorder="1" applyAlignment="1" applyProtection="1">
      <alignment horizontal="center" vertical="center"/>
      <protection hidden="1"/>
    </xf>
    <xf numFmtId="1" fontId="4" fillId="3" borderId="82" xfId="0" applyNumberFormat="1" applyFont="1" applyFill="1" applyBorder="1" applyAlignment="1" applyProtection="1">
      <alignment horizontal="left" vertical="center" wrapText="1"/>
      <protection hidden="1"/>
    </xf>
    <xf numFmtId="1" fontId="4" fillId="3" borderId="83" xfId="0" applyNumberFormat="1" applyFont="1" applyFill="1" applyBorder="1" applyAlignment="1" applyProtection="1">
      <alignment horizontal="left" vertical="center" wrapText="1"/>
      <protection hidden="1"/>
    </xf>
    <xf numFmtId="1" fontId="4" fillId="0" borderId="6" xfId="0" applyNumberFormat="1" applyFont="1" applyBorder="1" applyAlignment="1">
      <alignment horizontal="center" vertical="center" wrapText="1"/>
    </xf>
    <xf numFmtId="1" fontId="4" fillId="0" borderId="64" xfId="0" applyNumberFormat="1" applyFont="1" applyBorder="1" applyAlignment="1">
      <alignment horizontal="center" vertical="center" wrapText="1"/>
    </xf>
    <xf numFmtId="1" fontId="4" fillId="0" borderId="32" xfId="0" applyNumberFormat="1" applyFont="1" applyBorder="1" applyAlignment="1">
      <alignment horizontal="center" vertical="center" wrapText="1"/>
    </xf>
    <xf numFmtId="1" fontId="4" fillId="0" borderId="25" xfId="0" applyNumberFormat="1" applyFont="1" applyBorder="1" applyAlignment="1" applyProtection="1">
      <alignment horizontal="center" vertical="center" wrapText="1"/>
      <protection hidden="1"/>
    </xf>
    <xf numFmtId="1" fontId="4" fillId="0" borderId="65" xfId="0" applyNumberFormat="1" applyFont="1" applyBorder="1" applyAlignment="1" applyProtection="1">
      <alignment horizontal="center" vertical="center" wrapText="1"/>
      <protection hidden="1"/>
    </xf>
    <xf numFmtId="1" fontId="4" fillId="0" borderId="6" xfId="0" applyNumberFormat="1" applyFont="1" applyBorder="1" applyAlignment="1" applyProtection="1">
      <alignment horizontal="left" vertical="center" wrapText="1"/>
      <protection hidden="1"/>
    </xf>
    <xf numFmtId="1" fontId="4" fillId="0" borderId="13" xfId="0" applyNumberFormat="1" applyFont="1" applyBorder="1" applyAlignment="1" applyProtection="1">
      <alignment horizontal="left" vertical="center" wrapText="1"/>
      <protection hidden="1"/>
    </xf>
    <xf numFmtId="1" fontId="4" fillId="0" borderId="73" xfId="0" quotePrefix="1" applyNumberFormat="1" applyFont="1" applyBorder="1" applyAlignment="1" applyProtection="1">
      <alignment horizontal="center" vertical="center"/>
      <protection hidden="1"/>
    </xf>
    <xf numFmtId="1" fontId="4" fillId="0" borderId="74" xfId="0" quotePrefix="1" applyNumberFormat="1" applyFont="1" applyBorder="1" applyAlignment="1" applyProtection="1">
      <alignment horizontal="center" vertical="center"/>
      <protection hidden="1"/>
    </xf>
    <xf numFmtId="1" fontId="3" fillId="0" borderId="0" xfId="0" applyNumberFormat="1" applyFont="1" applyAlignment="1" applyProtection="1">
      <alignment horizontal="center" vertical="center" wrapText="1"/>
      <protection hidden="1"/>
    </xf>
    <xf numFmtId="1" fontId="28" fillId="3" borderId="201" xfId="1" applyNumberFormat="1" applyFont="1" applyFill="1" applyBorder="1" applyAlignment="1">
      <alignment horizontal="center" vertical="center" wrapText="1"/>
    </xf>
    <xf numFmtId="1" fontId="28" fillId="3" borderId="202" xfId="1" applyNumberFormat="1" applyFont="1" applyFill="1" applyBorder="1" applyAlignment="1">
      <alignment horizontal="center" vertical="center" wrapText="1"/>
    </xf>
    <xf numFmtId="1" fontId="4" fillId="0" borderId="71" xfId="1" applyNumberFormat="1" applyFont="1" applyBorder="1" applyAlignment="1">
      <alignment horizontal="center" vertical="center" wrapText="1"/>
    </xf>
    <xf numFmtId="1" fontId="4" fillId="0" borderId="32" xfId="1" applyNumberFormat="1" applyFont="1" applyBorder="1" applyAlignment="1">
      <alignment horizontal="center" vertical="center" wrapText="1"/>
    </xf>
    <xf numFmtId="1" fontId="7" fillId="0" borderId="206" xfId="1" applyNumberFormat="1" applyFont="1" applyBorder="1" applyAlignment="1">
      <alignment horizontal="center" vertical="center" wrapText="1"/>
    </xf>
    <xf numFmtId="1" fontId="7" fillId="0" borderId="71" xfId="1" applyNumberFormat="1" applyFont="1" applyBorder="1" applyAlignment="1">
      <alignment horizontal="center" vertical="center" wrapText="1"/>
    </xf>
    <xf numFmtId="1" fontId="4" fillId="3" borderId="121" xfId="1" applyNumberFormat="1" applyFont="1" applyFill="1" applyBorder="1" applyAlignment="1">
      <alignment horizontal="center" vertical="center" wrapText="1"/>
    </xf>
    <xf numFmtId="1" fontId="4" fillId="3" borderId="10" xfId="1" applyNumberFormat="1" applyFont="1" applyFill="1" applyBorder="1" applyAlignment="1">
      <alignment horizontal="center" vertical="center" wrapText="1"/>
    </xf>
    <xf numFmtId="1" fontId="4" fillId="0" borderId="4"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21"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4" xfId="1" applyNumberFormat="1" applyFont="1" applyBorder="1" applyAlignment="1">
      <alignment horizontal="center" vertical="center" wrapText="1"/>
    </xf>
    <xf numFmtId="1" fontId="4" fillId="0" borderId="5" xfId="1" applyNumberFormat="1" applyFont="1" applyBorder="1" applyAlignment="1">
      <alignment horizontal="center" vertical="center"/>
    </xf>
    <xf numFmtId="1" fontId="4" fillId="0" borderId="126" xfId="1" applyNumberFormat="1" applyFont="1" applyBorder="1" applyAlignment="1">
      <alignment horizontal="center" vertical="center"/>
    </xf>
    <xf numFmtId="1" fontId="4" fillId="0" borderId="62" xfId="1" applyNumberFormat="1" applyFont="1" applyBorder="1" applyAlignment="1">
      <alignment horizontal="center" vertical="center"/>
    </xf>
    <xf numFmtId="1" fontId="4" fillId="0" borderId="12" xfId="1" applyNumberFormat="1" applyFont="1" applyBorder="1" applyAlignment="1">
      <alignment horizontal="center" vertical="center"/>
    </xf>
    <xf numFmtId="1" fontId="4" fillId="0" borderId="13" xfId="1" applyNumberFormat="1" applyFont="1" applyBorder="1" applyAlignment="1">
      <alignment horizontal="center" vertical="center"/>
    </xf>
    <xf numFmtId="1" fontId="4" fillId="0" borderId="4" xfId="2" applyNumberFormat="1" applyFont="1" applyBorder="1" applyAlignment="1">
      <alignment horizontal="center" vertical="center"/>
    </xf>
    <xf numFmtId="1" fontId="4" fillId="0" borderId="112" xfId="2" applyNumberFormat="1" applyFont="1" applyBorder="1" applyAlignment="1">
      <alignment horizontal="center" vertical="center"/>
    </xf>
    <xf numFmtId="1" fontId="4" fillId="0" borderId="5" xfId="2" applyNumberFormat="1" applyFont="1" applyBorder="1" applyAlignment="1">
      <alignment horizontal="center" vertical="center"/>
    </xf>
    <xf numFmtId="1" fontId="4" fillId="0" borderId="12" xfId="2" applyNumberFormat="1" applyFont="1" applyBorder="1" applyAlignment="1">
      <alignment horizontal="center" vertical="center"/>
    </xf>
    <xf numFmtId="1" fontId="4" fillId="0" borderId="3" xfId="2" applyNumberFormat="1" applyFont="1" applyBorder="1" applyAlignment="1">
      <alignment horizontal="center" vertical="center"/>
    </xf>
    <xf numFmtId="1" fontId="4" fillId="0" borderId="13" xfId="2" applyNumberFormat="1" applyFont="1" applyBorder="1" applyAlignment="1">
      <alignment horizontal="center" vertical="center"/>
    </xf>
    <xf numFmtId="1" fontId="4" fillId="0" borderId="121" xfId="1" quotePrefix="1" applyNumberFormat="1" applyFont="1" applyBorder="1" applyAlignment="1">
      <alignment horizontal="center" vertical="center" wrapText="1"/>
    </xf>
    <xf numFmtId="1" fontId="4" fillId="0" borderId="7" xfId="1" quotePrefix="1" applyNumberFormat="1" applyFont="1" applyBorder="1" applyAlignment="1">
      <alignment horizontal="center" vertical="center" wrapText="1"/>
    </xf>
    <xf numFmtId="1" fontId="7" fillId="0" borderId="112"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1" fontId="4" fillId="0" borderId="7" xfId="1" applyNumberFormat="1" applyFont="1" applyBorder="1" applyAlignment="1">
      <alignment horizontal="center" vertical="center" wrapText="1"/>
    </xf>
    <xf numFmtId="1" fontId="7" fillId="0" borderId="121" xfId="1" applyNumberFormat="1" applyFont="1" applyBorder="1" applyAlignment="1">
      <alignment horizontal="center" vertical="center" wrapText="1"/>
    </xf>
    <xf numFmtId="1" fontId="7" fillId="0" borderId="10" xfId="1" applyNumberFormat="1" applyFont="1" applyBorder="1" applyAlignment="1">
      <alignment horizontal="center" vertical="center" wrapText="1"/>
    </xf>
    <xf numFmtId="1" fontId="7" fillId="0" borderId="113" xfId="1" applyNumberFormat="1" applyFont="1" applyBorder="1" applyAlignment="1">
      <alignment horizontal="left" vertical="center"/>
    </xf>
    <xf numFmtId="1" fontId="7" fillId="0" borderId="30" xfId="1" applyNumberFormat="1" applyFont="1" applyBorder="1" applyAlignment="1">
      <alignment horizontal="left" vertical="center"/>
    </xf>
    <xf numFmtId="1" fontId="7" fillId="0" borderId="114" xfId="1" applyNumberFormat="1" applyFont="1" applyBorder="1" applyAlignment="1">
      <alignment horizontal="left" vertical="center"/>
    </xf>
    <xf numFmtId="1" fontId="7" fillId="0" borderId="49" xfId="1" applyNumberFormat="1" applyFont="1" applyBorder="1" applyAlignment="1">
      <alignment horizontal="left" vertical="center"/>
    </xf>
    <xf numFmtId="1" fontId="7" fillId="0" borderId="119" xfId="1" applyNumberFormat="1" applyFont="1" applyBorder="1" applyAlignment="1">
      <alignment horizontal="left" vertical="center"/>
    </xf>
    <xf numFmtId="1" fontId="7" fillId="0" borderId="69" xfId="1" applyNumberFormat="1" applyFont="1" applyBorder="1" applyAlignment="1">
      <alignment horizontal="left" vertical="center"/>
    </xf>
    <xf numFmtId="1" fontId="4" fillId="0" borderId="5" xfId="1" applyNumberFormat="1" applyFont="1" applyBorder="1" applyAlignment="1">
      <alignment horizontal="center" vertical="center" wrapText="1"/>
    </xf>
    <xf numFmtId="1" fontId="4" fillId="0" borderId="126" xfId="1" applyNumberFormat="1" applyFont="1" applyBorder="1" applyAlignment="1">
      <alignment horizontal="center" vertical="center" wrapText="1"/>
    </xf>
    <xf numFmtId="1" fontId="4" fillId="0" borderId="62" xfId="1" applyNumberFormat="1" applyFont="1" applyBorder="1" applyAlignment="1">
      <alignment horizontal="center" vertical="center" wrapText="1"/>
    </xf>
    <xf numFmtId="1" fontId="4" fillId="0" borderId="12" xfId="1" applyNumberFormat="1" applyFont="1" applyBorder="1" applyAlignment="1">
      <alignment horizontal="center" vertical="center" wrapText="1"/>
    </xf>
    <xf numFmtId="1" fontId="4" fillId="0" borderId="13" xfId="1" applyNumberFormat="1" applyFont="1" applyBorder="1" applyAlignment="1">
      <alignment horizontal="center" vertical="center" wrapText="1"/>
    </xf>
    <xf numFmtId="1" fontId="4" fillId="0" borderId="8" xfId="1" quotePrefix="1" applyNumberFormat="1" applyFont="1" applyBorder="1" applyAlignment="1">
      <alignment horizontal="center" vertical="center" wrapText="1"/>
    </xf>
    <xf numFmtId="1" fontId="7" fillId="3" borderId="114" xfId="1" applyNumberFormat="1" applyFont="1" applyFill="1" applyBorder="1" applyAlignment="1">
      <alignment horizontal="left" vertical="center" wrapText="1"/>
    </xf>
    <xf numFmtId="1" fontId="7" fillId="3" borderId="49" xfId="1" applyNumberFormat="1" applyFont="1" applyFill="1" applyBorder="1" applyAlignment="1">
      <alignment horizontal="left" vertical="center" wrapText="1"/>
    </xf>
    <xf numFmtId="1" fontId="4" fillId="0" borderId="8" xfId="1" applyNumberFormat="1" applyFont="1" applyBorder="1" applyAlignment="1">
      <alignment horizontal="center" vertical="center" wrapText="1"/>
    </xf>
    <xf numFmtId="1" fontId="7" fillId="3" borderId="41" xfId="1" applyNumberFormat="1" applyFont="1" applyFill="1" applyBorder="1" applyAlignment="1">
      <alignment horizontal="center" vertical="center" wrapText="1"/>
    </xf>
    <xf numFmtId="1" fontId="7" fillId="3" borderId="43" xfId="1" applyNumberFormat="1" applyFont="1" applyFill="1" applyBorder="1" applyAlignment="1">
      <alignment horizontal="center" vertical="center" wrapText="1"/>
    </xf>
    <xf numFmtId="1" fontId="4" fillId="0" borderId="72" xfId="1" applyNumberFormat="1" applyFont="1" applyBorder="1" applyAlignment="1">
      <alignment horizontal="center" vertical="center" wrapText="1"/>
    </xf>
    <xf numFmtId="1" fontId="7" fillId="3" borderId="4" xfId="1" applyNumberFormat="1" applyFont="1" applyFill="1" applyBorder="1" applyAlignment="1">
      <alignment horizontal="center" vertical="center" wrapText="1"/>
    </xf>
    <xf numFmtId="1" fontId="7" fillId="3" borderId="5" xfId="1" applyNumberFormat="1" applyFont="1" applyFill="1" applyBorder="1" applyAlignment="1">
      <alignment horizontal="center" vertical="center" wrapText="1"/>
    </xf>
    <xf numFmtId="1" fontId="7" fillId="3" borderId="12" xfId="1" applyNumberFormat="1" applyFont="1" applyFill="1" applyBorder="1" applyAlignment="1">
      <alignment horizontal="center" vertical="center" wrapText="1"/>
    </xf>
    <xf numFmtId="1" fontId="7" fillId="3" borderId="13" xfId="1" applyNumberFormat="1" applyFont="1" applyFill="1" applyBorder="1" applyAlignment="1">
      <alignment horizontal="center" vertical="center" wrapText="1"/>
    </xf>
    <xf numFmtId="1" fontId="4" fillId="0" borderId="16" xfId="1" applyNumberFormat="1" applyFont="1" applyBorder="1" applyAlignment="1">
      <alignment horizontal="center" vertical="center" wrapText="1"/>
    </xf>
    <xf numFmtId="1" fontId="4" fillId="0" borderId="152" xfId="1" applyNumberFormat="1" applyFont="1" applyBorder="1" applyAlignment="1">
      <alignment horizontal="center" vertical="center" wrapText="1"/>
    </xf>
    <xf numFmtId="1" fontId="4" fillId="0" borderId="113" xfId="1" applyNumberFormat="1" applyFont="1" applyBorder="1" applyAlignment="1">
      <alignment horizontal="left" vertical="center"/>
    </xf>
    <xf numFmtId="1" fontId="4" fillId="0" borderId="30" xfId="1" applyNumberFormat="1" applyFont="1" applyBorder="1" applyAlignment="1">
      <alignment horizontal="left" vertical="center"/>
    </xf>
    <xf numFmtId="1" fontId="4" fillId="0" borderId="119" xfId="1" applyNumberFormat="1" applyFont="1" applyBorder="1" applyAlignment="1">
      <alignment horizontal="left" vertical="center"/>
    </xf>
    <xf numFmtId="1" fontId="4" fillId="0" borderId="69" xfId="1" applyNumberFormat="1" applyFont="1" applyBorder="1" applyAlignment="1">
      <alignment horizontal="left" vertical="center"/>
    </xf>
    <xf numFmtId="1" fontId="4" fillId="0" borderId="121" xfId="0" applyNumberFormat="1" applyFont="1" applyBorder="1"/>
    <xf numFmtId="1" fontId="4" fillId="0" borderId="10" xfId="0" applyNumberFormat="1" applyFont="1" applyBorder="1"/>
    <xf numFmtId="1" fontId="4" fillId="0" borderId="23" xfId="1" applyNumberFormat="1" applyFont="1" applyBorder="1" applyAlignment="1">
      <alignment horizontal="center" vertical="center" wrapText="1"/>
    </xf>
    <xf numFmtId="1" fontId="4" fillId="0" borderId="24" xfId="1" applyNumberFormat="1" applyFont="1" applyBorder="1" applyAlignment="1">
      <alignment horizontal="center" vertical="center" wrapText="1"/>
    </xf>
    <xf numFmtId="1" fontId="4" fillId="0" borderId="48" xfId="1" applyNumberFormat="1" applyFont="1" applyBorder="1" applyAlignment="1">
      <alignment horizontal="center" vertical="center" wrapText="1"/>
    </xf>
    <xf numFmtId="1" fontId="4" fillId="0" borderId="50" xfId="1" applyNumberFormat="1" applyFont="1" applyBorder="1" applyAlignment="1">
      <alignment horizontal="center" vertical="center" wrapText="1"/>
    </xf>
    <xf numFmtId="1" fontId="4" fillId="0" borderId="68" xfId="1" applyNumberFormat="1" applyFont="1" applyBorder="1" applyAlignment="1">
      <alignment horizontal="center" vertical="center" wrapText="1"/>
    </xf>
    <xf numFmtId="1" fontId="4" fillId="0" borderId="70" xfId="1" applyNumberFormat="1" applyFont="1" applyBorder="1" applyAlignment="1">
      <alignment horizontal="center" vertical="center" wrapText="1"/>
    </xf>
    <xf numFmtId="1" fontId="4" fillId="0" borderId="23" xfId="2" applyNumberFormat="1" applyFont="1" applyBorder="1" applyAlignment="1">
      <alignment horizontal="center" vertical="center"/>
    </xf>
    <xf numFmtId="1" fontId="4" fillId="0" borderId="27" xfId="2" applyNumberFormat="1" applyFont="1" applyBorder="1" applyAlignment="1">
      <alignment horizontal="center" vertical="center"/>
    </xf>
    <xf numFmtId="1" fontId="4" fillId="0" borderId="24" xfId="2" applyNumberFormat="1" applyFont="1" applyBorder="1" applyAlignment="1">
      <alignment horizontal="center" vertical="center"/>
    </xf>
    <xf numFmtId="1" fontId="4" fillId="0" borderId="68" xfId="2" applyNumberFormat="1" applyFont="1" applyBorder="1" applyAlignment="1">
      <alignment horizontal="center" vertical="center"/>
    </xf>
    <xf numFmtId="1" fontId="4" fillId="0" borderId="58" xfId="2" applyNumberFormat="1" applyFont="1" applyBorder="1" applyAlignment="1">
      <alignment horizontal="center" vertical="center"/>
    </xf>
    <xf numFmtId="1" fontId="4" fillId="0" borderId="70" xfId="2" applyNumberFormat="1" applyFont="1" applyBorder="1" applyAlignment="1">
      <alignment horizontal="center" vertical="center"/>
    </xf>
    <xf numFmtId="1" fontId="4" fillId="0" borderId="122" xfId="1" quotePrefix="1" applyNumberFormat="1" applyFont="1" applyBorder="1" applyAlignment="1">
      <alignment horizontal="center" vertical="center" wrapText="1"/>
    </xf>
    <xf numFmtId="1" fontId="4" fillId="0" borderId="15" xfId="1" quotePrefix="1" applyNumberFormat="1" applyFont="1" applyBorder="1" applyAlignment="1">
      <alignment horizontal="center" vertical="center" wrapText="1"/>
    </xf>
    <xf numFmtId="1" fontId="4" fillId="0" borderId="94" xfId="1" quotePrefix="1" applyNumberFormat="1" applyFont="1" applyBorder="1" applyAlignment="1">
      <alignment horizontal="center" vertical="center" wrapText="1"/>
    </xf>
    <xf numFmtId="1" fontId="7" fillId="3" borderId="112" xfId="1" applyNumberFormat="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1" fontId="4" fillId="3" borderId="114" xfId="1" applyNumberFormat="1" applyFont="1" applyFill="1" applyBorder="1" applyAlignment="1">
      <alignment horizontal="left" vertical="center"/>
    </xf>
    <xf numFmtId="1" fontId="4" fillId="3" borderId="49" xfId="1" applyNumberFormat="1" applyFont="1" applyFill="1" applyBorder="1" applyAlignment="1">
      <alignment horizontal="left" vertical="center"/>
    </xf>
    <xf numFmtId="1" fontId="4" fillId="0" borderId="114" xfId="1" applyNumberFormat="1" applyFont="1" applyBorder="1" applyAlignment="1">
      <alignment horizontal="left" vertical="center"/>
    </xf>
    <xf numFmtId="1" fontId="4" fillId="0" borderId="49" xfId="1" applyNumberFormat="1" applyFont="1" applyBorder="1" applyAlignment="1">
      <alignment horizontal="left" vertical="center"/>
    </xf>
    <xf numFmtId="1" fontId="4" fillId="0" borderId="112" xfId="1" applyNumberFormat="1" applyFont="1" applyBorder="1" applyAlignment="1">
      <alignment horizontal="center" vertical="center" wrapText="1"/>
    </xf>
    <xf numFmtId="1" fontId="4" fillId="0" borderId="3" xfId="1" applyNumberFormat="1" applyFont="1" applyBorder="1" applyAlignment="1">
      <alignment horizontal="center" vertical="center" wrapText="1"/>
    </xf>
    <xf numFmtId="1" fontId="4" fillId="0" borderId="121" xfId="1" applyNumberFormat="1" applyFont="1" applyBorder="1" applyAlignment="1">
      <alignment horizontal="center" vertical="center"/>
    </xf>
    <xf numFmtId="1" fontId="4" fillId="0" borderId="7" xfId="1" applyNumberFormat="1" applyFont="1" applyBorder="1" applyAlignment="1">
      <alignment horizontal="center" vertical="center"/>
    </xf>
    <xf numFmtId="1" fontId="4" fillId="0" borderId="10" xfId="1" applyNumberFormat="1" applyFont="1" applyBorder="1" applyAlignment="1">
      <alignment horizontal="center" vertical="center"/>
    </xf>
    <xf numFmtId="1" fontId="4" fillId="0" borderId="64" xfId="1" applyNumberFormat="1" applyFont="1" applyBorder="1" applyAlignment="1">
      <alignment horizontal="center" vertical="center"/>
    </xf>
    <xf numFmtId="1" fontId="4" fillId="0" borderId="32" xfId="1" applyNumberFormat="1" applyFont="1" applyBorder="1" applyAlignment="1">
      <alignment horizontal="center" vertical="center"/>
    </xf>
    <xf numFmtId="1" fontId="4" fillId="0" borderId="64" xfId="1" applyNumberFormat="1" applyFont="1" applyBorder="1" applyAlignment="1">
      <alignment horizontal="center" vertical="center" wrapText="1"/>
    </xf>
    <xf numFmtId="1" fontId="4" fillId="0" borderId="130" xfId="1" applyNumberFormat="1" applyFont="1" applyBorder="1" applyAlignment="1">
      <alignment horizontal="center" vertical="center" wrapText="1"/>
    </xf>
    <xf numFmtId="1" fontId="4" fillId="3" borderId="113" xfId="0" applyNumberFormat="1" applyFont="1" applyFill="1" applyBorder="1" applyAlignment="1">
      <alignment horizontal="left"/>
    </xf>
    <xf numFmtId="1" fontId="4" fillId="3" borderId="30" xfId="0" applyNumberFormat="1" applyFont="1" applyFill="1" applyBorder="1" applyAlignment="1">
      <alignment horizontal="left"/>
    </xf>
    <xf numFmtId="1" fontId="4" fillId="3" borderId="114" xfId="0" applyNumberFormat="1" applyFont="1" applyFill="1" applyBorder="1" applyAlignment="1">
      <alignment horizontal="left"/>
    </xf>
    <xf numFmtId="1" fontId="4" fillId="3" borderId="49" xfId="0" applyNumberFormat="1" applyFont="1" applyFill="1" applyBorder="1" applyAlignment="1">
      <alignment horizontal="left"/>
    </xf>
    <xf numFmtId="1" fontId="4" fillId="3" borderId="114" xfId="4" applyNumberFormat="1" applyFont="1" applyFill="1" applyBorder="1" applyAlignment="1">
      <alignment horizontal="left"/>
    </xf>
    <xf numFmtId="1" fontId="4" fillId="3" borderId="49" xfId="4" applyNumberFormat="1" applyFont="1" applyFill="1" applyBorder="1" applyAlignment="1">
      <alignment horizontal="left"/>
    </xf>
    <xf numFmtId="1" fontId="4" fillId="3" borderId="121" xfId="0" applyNumberFormat="1" applyFont="1" applyFill="1" applyBorder="1"/>
    <xf numFmtId="1" fontId="4" fillId="3" borderId="10" xfId="0" applyNumberFormat="1" applyFont="1" applyFill="1" applyBorder="1"/>
    <xf numFmtId="1" fontId="4" fillId="0" borderId="25" xfId="1" applyNumberFormat="1" applyFont="1" applyBorder="1" applyAlignment="1">
      <alignment horizontal="center" vertical="center" wrapText="1"/>
    </xf>
    <xf numFmtId="1" fontId="4" fillId="0" borderId="44" xfId="1" applyNumberFormat="1" applyFont="1" applyBorder="1" applyAlignment="1">
      <alignment horizontal="center" vertical="center" wrapText="1"/>
    </xf>
    <xf numFmtId="1" fontId="4" fillId="0" borderId="65" xfId="1" applyNumberFormat="1" applyFont="1" applyBorder="1" applyAlignment="1">
      <alignment horizontal="center" vertical="center" wrapText="1"/>
    </xf>
    <xf numFmtId="1" fontId="4" fillId="0" borderId="113" xfId="0" applyNumberFormat="1" applyFont="1" applyBorder="1" applyAlignment="1">
      <alignment horizontal="left"/>
    </xf>
    <xf numFmtId="1" fontId="4" fillId="0" borderId="30" xfId="0" applyNumberFormat="1" applyFont="1" applyBorder="1" applyAlignment="1">
      <alignment horizontal="left"/>
    </xf>
    <xf numFmtId="1" fontId="4" fillId="0" borderId="119" xfId="0" applyNumberFormat="1" applyFont="1" applyBorder="1" applyAlignment="1">
      <alignment horizontal="left"/>
    </xf>
    <xf numFmtId="1" fontId="4" fillId="0" borderId="69" xfId="0" applyNumberFormat="1" applyFont="1" applyBorder="1" applyAlignment="1">
      <alignment horizontal="left"/>
    </xf>
    <xf numFmtId="1" fontId="4" fillId="3" borderId="4" xfId="1" applyNumberFormat="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1" fontId="4" fillId="3" borderId="12" xfId="1" applyNumberFormat="1" applyFont="1" applyFill="1" applyBorder="1" applyAlignment="1">
      <alignment horizontal="center" vertical="center" wrapText="1"/>
    </xf>
    <xf numFmtId="1" fontId="4" fillId="3" borderId="13" xfId="1" applyNumberFormat="1" applyFont="1" applyFill="1" applyBorder="1" applyAlignment="1">
      <alignment horizontal="center" vertical="center" wrapText="1"/>
    </xf>
    <xf numFmtId="1" fontId="4" fillId="3" borderId="64" xfId="1" applyNumberFormat="1" applyFont="1" applyFill="1" applyBorder="1" applyAlignment="1">
      <alignment horizontal="center" vertical="center"/>
    </xf>
    <xf numFmtId="1" fontId="4" fillId="3" borderId="32" xfId="1" applyNumberFormat="1" applyFont="1" applyFill="1" applyBorder="1" applyAlignment="1">
      <alignment horizontal="center" vertical="center"/>
    </xf>
    <xf numFmtId="1" fontId="4" fillId="0" borderId="101" xfId="1"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1" fontId="4" fillId="0" borderId="11" xfId="1" applyNumberFormat="1" applyFont="1" applyBorder="1" applyAlignment="1">
      <alignment horizontal="center" vertical="center" wrapText="1"/>
    </xf>
    <xf numFmtId="1" fontId="4" fillId="0" borderId="22" xfId="0" applyNumberFormat="1" applyFont="1" applyBorder="1" applyAlignment="1">
      <alignment horizontal="center" vertical="center" wrapText="1"/>
    </xf>
    <xf numFmtId="1" fontId="4" fillId="0" borderId="44" xfId="0" applyNumberFormat="1" applyFont="1" applyBorder="1" applyAlignment="1" applyProtection="1">
      <alignment horizontal="center" vertical="center" wrapText="1"/>
      <protection hidden="1"/>
    </xf>
    <xf numFmtId="1" fontId="4" fillId="0" borderId="97" xfId="0" applyNumberFormat="1" applyFont="1" applyBorder="1" applyAlignment="1" applyProtection="1">
      <alignment horizontal="center" vertical="center" wrapText="1"/>
      <protection hidden="1"/>
    </xf>
    <xf numFmtId="1" fontId="4" fillId="3" borderId="136" xfId="0" applyNumberFormat="1" applyFont="1" applyFill="1" applyBorder="1" applyAlignment="1">
      <alignment horizontal="center" vertical="center" wrapText="1"/>
    </xf>
    <xf numFmtId="1" fontId="4" fillId="3" borderId="139" xfId="0" applyNumberFormat="1" applyFont="1" applyFill="1" applyBorder="1" applyAlignment="1">
      <alignment horizontal="center" vertical="center" wrapText="1"/>
    </xf>
    <xf numFmtId="1" fontId="4" fillId="3" borderId="144" xfId="0" applyNumberFormat="1" applyFont="1" applyFill="1" applyBorder="1" applyAlignment="1">
      <alignment horizontal="center" vertical="center" wrapText="1"/>
    </xf>
    <xf numFmtId="1" fontId="4" fillId="0" borderId="136" xfId="0" applyNumberFormat="1" applyFont="1" applyBorder="1" applyAlignment="1">
      <alignment horizontal="center" vertical="center" wrapText="1"/>
    </xf>
    <xf numFmtId="1" fontId="4" fillId="0" borderId="139" xfId="0" applyNumberFormat="1" applyFont="1" applyBorder="1" applyAlignment="1">
      <alignment horizontal="center" vertical="center" wrapText="1"/>
    </xf>
    <xf numFmtId="1" fontId="4" fillId="0" borderId="144" xfId="0" applyNumberFormat="1" applyFont="1" applyBorder="1" applyAlignment="1">
      <alignment horizontal="center" vertical="center" wrapText="1"/>
    </xf>
    <xf numFmtId="1" fontId="4" fillId="0" borderId="136" xfId="1" applyNumberFormat="1" applyFont="1" applyBorder="1" applyAlignment="1">
      <alignment horizontal="center" vertical="center" wrapText="1"/>
    </xf>
    <xf numFmtId="1" fontId="4" fillId="0" borderId="139" xfId="1" applyNumberFormat="1" applyFont="1" applyBorder="1" applyAlignment="1">
      <alignment horizontal="center" vertical="center" wrapText="1"/>
    </xf>
    <xf numFmtId="1" fontId="4" fillId="0" borderId="144" xfId="1" applyNumberFormat="1" applyFont="1" applyBorder="1" applyAlignment="1">
      <alignment horizontal="center" vertical="center" wrapText="1"/>
    </xf>
    <xf numFmtId="1" fontId="4" fillId="0" borderId="121" xfId="1" applyNumberFormat="1" applyFont="1" applyBorder="1" applyAlignment="1">
      <alignment horizontal="left" vertical="center" wrapText="1"/>
    </xf>
    <xf numFmtId="1" fontId="4" fillId="0" borderId="10" xfId="1" applyNumberFormat="1" applyFont="1" applyBorder="1" applyAlignment="1">
      <alignment horizontal="left" vertical="center" wrapText="1"/>
    </xf>
    <xf numFmtId="1" fontId="4" fillId="0" borderId="0" xfId="0" applyNumberFormat="1" applyFont="1" applyAlignment="1">
      <alignment horizontal="left" vertical="top" wrapText="1"/>
    </xf>
    <xf numFmtId="1" fontId="4" fillId="0" borderId="102" xfId="1"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1" fontId="7" fillId="0" borderId="9" xfId="1" applyNumberFormat="1" applyFont="1" applyBorder="1" applyAlignment="1">
      <alignment horizontal="center" vertical="center" wrapText="1"/>
    </xf>
    <xf numFmtId="1" fontId="7" fillId="0" borderId="19" xfId="1" applyNumberFormat="1" applyFont="1" applyBorder="1" applyAlignment="1">
      <alignment horizontal="center" vertical="center" wrapText="1"/>
    </xf>
    <xf numFmtId="1" fontId="4" fillId="3" borderId="64" xfId="0" applyNumberFormat="1" applyFont="1" applyFill="1" applyBorder="1" applyAlignment="1">
      <alignment horizontal="center" vertical="center" wrapText="1"/>
    </xf>
    <xf numFmtId="1" fontId="4" fillId="3" borderId="32" xfId="0" applyNumberFormat="1" applyFont="1" applyFill="1" applyBorder="1" applyAlignment="1">
      <alignment horizontal="center" vertical="center" wrapText="1"/>
    </xf>
    <xf numFmtId="1" fontId="4" fillId="0" borderId="75" xfId="1" applyNumberFormat="1" applyFont="1" applyBorder="1" applyAlignment="1">
      <alignment horizontal="center" vertical="center" wrapText="1"/>
    </xf>
    <xf numFmtId="1" fontId="4" fillId="0" borderId="20" xfId="1" applyNumberFormat="1" applyFont="1" applyBorder="1" applyAlignment="1">
      <alignment horizontal="center" vertical="center" wrapText="1"/>
    </xf>
    <xf numFmtId="1" fontId="2" fillId="0" borderId="121" xfId="1" applyNumberFormat="1" applyFont="1" applyBorder="1" applyAlignment="1">
      <alignment horizontal="center" vertical="center" wrapText="1"/>
    </xf>
    <xf numFmtId="1" fontId="2" fillId="0" borderId="10" xfId="1" applyNumberFormat="1" applyFont="1" applyBorder="1" applyAlignment="1">
      <alignment horizontal="center" vertical="center" wrapText="1"/>
    </xf>
    <xf numFmtId="1" fontId="3" fillId="0" borderId="3" xfId="1" quotePrefix="1" applyNumberFormat="1" applyFont="1" applyBorder="1" applyAlignment="1">
      <alignment horizontal="left"/>
    </xf>
    <xf numFmtId="1" fontId="3" fillId="0" borderId="0" xfId="1" quotePrefix="1" applyNumberFormat="1" applyFont="1" applyAlignment="1">
      <alignment horizontal="left"/>
    </xf>
    <xf numFmtId="1" fontId="4" fillId="0" borderId="0" xfId="2" applyNumberFormat="1" applyFont="1" applyAlignment="1">
      <alignment horizontal="center" vertical="center"/>
    </xf>
    <xf numFmtId="1" fontId="4" fillId="0" borderId="62" xfId="2" applyNumberFormat="1" applyFont="1" applyBorder="1" applyAlignment="1">
      <alignment horizontal="center" vertical="center"/>
    </xf>
    <xf numFmtId="1" fontId="4" fillId="0" borderId="10" xfId="1" quotePrefix="1" applyNumberFormat="1" applyFont="1" applyBorder="1" applyAlignment="1">
      <alignment horizontal="center" vertical="center" wrapText="1"/>
    </xf>
    <xf numFmtId="1" fontId="2" fillId="0" borderId="134" xfId="1" applyNumberFormat="1" applyFont="1" applyBorder="1" applyAlignment="1">
      <alignment horizontal="center" vertical="center" wrapText="1"/>
    </xf>
    <xf numFmtId="1" fontId="2" fillId="0" borderId="13" xfId="1" applyNumberFormat="1" applyFont="1" applyBorder="1" applyAlignment="1">
      <alignment horizontal="center" vertical="center" wrapText="1"/>
    </xf>
    <xf numFmtId="1" fontId="4" fillId="0" borderId="129"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23" xfId="0" applyNumberFormat="1" applyFont="1" applyBorder="1" applyAlignment="1">
      <alignment horizontal="center" vertical="center" wrapText="1"/>
    </xf>
    <xf numFmtId="1" fontId="3" fillId="2" borderId="0" xfId="1" applyNumberFormat="1" applyFont="1" applyFill="1" applyAlignment="1">
      <alignment horizontal="center" vertical="center" wrapText="1"/>
    </xf>
    <xf numFmtId="0" fontId="4" fillId="0" borderId="192" xfId="0" applyFont="1" applyBorder="1" applyAlignment="1">
      <alignment horizontal="center" vertical="center"/>
    </xf>
    <xf numFmtId="0" fontId="4" fillId="0" borderId="71" xfId="0" applyFont="1" applyBorder="1" applyAlignment="1">
      <alignment horizontal="center" vertical="center"/>
    </xf>
    <xf numFmtId="0" fontId="4" fillId="0" borderId="32" xfId="0" applyFont="1" applyBorder="1" applyAlignment="1">
      <alignment horizontal="center" vertical="center"/>
    </xf>
    <xf numFmtId="1" fontId="4" fillId="0" borderId="184" xfId="0" applyNumberFormat="1" applyFont="1" applyBorder="1" applyAlignment="1">
      <alignment horizontal="center" vertical="center"/>
    </xf>
    <xf numFmtId="1" fontId="4" fillId="0" borderId="181" xfId="0" applyNumberFormat="1" applyFont="1" applyBorder="1" applyAlignment="1">
      <alignment horizontal="center" vertical="center"/>
    </xf>
    <xf numFmtId="1" fontId="4" fillId="0" borderId="182" xfId="0" applyNumberFormat="1" applyFont="1" applyBorder="1" applyAlignment="1">
      <alignment horizontal="center" vertical="center"/>
    </xf>
    <xf numFmtId="1" fontId="4" fillId="0" borderId="194" xfId="0" applyNumberFormat="1" applyFont="1" applyBorder="1" applyAlignment="1">
      <alignment horizontal="center" vertical="center"/>
    </xf>
    <xf numFmtId="1" fontId="4" fillId="0" borderId="192" xfId="0" applyNumberFormat="1" applyFont="1" applyBorder="1" applyAlignment="1">
      <alignment horizontal="center" vertical="center" wrapText="1"/>
    </xf>
    <xf numFmtId="1" fontId="4" fillId="0" borderId="71" xfId="0" applyNumberFormat="1" applyFont="1" applyBorder="1" applyAlignment="1">
      <alignment horizontal="center" vertical="center" wrapText="1"/>
    </xf>
    <xf numFmtId="1" fontId="4" fillId="3" borderId="184" xfId="6" applyNumberFormat="1" applyFont="1" applyFill="1" applyBorder="1" applyAlignment="1">
      <alignment horizontal="center" vertical="center" wrapText="1"/>
    </xf>
    <xf numFmtId="1" fontId="4" fillId="3" borderId="182" xfId="6" applyNumberFormat="1" applyFont="1" applyFill="1" applyBorder="1" applyAlignment="1">
      <alignment horizontal="center" vertical="center" wrapText="1"/>
    </xf>
    <xf numFmtId="1" fontId="4" fillId="3" borderId="3" xfId="6" applyNumberFormat="1" applyFont="1" applyFill="1" applyBorder="1" applyAlignment="1">
      <alignment horizontal="center" vertical="center" wrapText="1"/>
    </xf>
    <xf numFmtId="1" fontId="4" fillId="3" borderId="13" xfId="6" applyNumberFormat="1" applyFont="1" applyFill="1" applyBorder="1" applyAlignment="1">
      <alignment horizontal="center" vertical="center" wrapText="1"/>
    </xf>
    <xf numFmtId="1" fontId="4" fillId="0" borderId="185" xfId="0" applyNumberFormat="1" applyFont="1" applyBorder="1" applyAlignment="1">
      <alignment horizontal="center" vertical="center"/>
    </xf>
    <xf numFmtId="1" fontId="4" fillId="0" borderId="186" xfId="0" applyNumberFormat="1" applyFont="1" applyBorder="1" applyAlignment="1">
      <alignment horizontal="center" vertical="center"/>
    </xf>
    <xf numFmtId="1" fontId="4" fillId="0" borderId="191" xfId="0" applyNumberFormat="1" applyFont="1" applyBorder="1" applyAlignment="1">
      <alignment horizontal="center" vertical="center"/>
    </xf>
    <xf numFmtId="1" fontId="4" fillId="0" borderId="192" xfId="3" applyNumberFormat="1" applyFont="1" applyBorder="1" applyAlignment="1">
      <alignment horizontal="center" vertical="center" wrapText="1"/>
    </xf>
    <xf numFmtId="1" fontId="4" fillId="0" borderId="71" xfId="3" applyNumberFormat="1" applyFont="1" applyBorder="1" applyAlignment="1">
      <alignment horizontal="center" vertical="center" wrapText="1"/>
    </xf>
    <xf numFmtId="1" fontId="4" fillId="0" borderId="192" xfId="0" applyNumberFormat="1" applyFont="1" applyBorder="1" applyAlignment="1">
      <alignment horizontal="center" vertical="center"/>
    </xf>
    <xf numFmtId="1" fontId="4" fillId="0" borderId="71" xfId="0" applyNumberFormat="1" applyFont="1" applyBorder="1" applyAlignment="1">
      <alignment horizontal="center" vertical="center"/>
    </xf>
    <xf numFmtId="1" fontId="4" fillId="0" borderId="32" xfId="0" applyNumberFormat="1" applyFont="1" applyBorder="1" applyAlignment="1">
      <alignment horizontal="center" vertical="center"/>
    </xf>
    <xf numFmtId="1" fontId="4" fillId="0" borderId="179" xfId="0" applyNumberFormat="1" applyFont="1" applyBorder="1" applyAlignment="1">
      <alignment horizontal="center" vertical="center"/>
    </xf>
    <xf numFmtId="1" fontId="4" fillId="2" borderId="179" xfId="0" applyNumberFormat="1" applyFont="1" applyFill="1" applyBorder="1" applyAlignment="1">
      <alignment horizontal="center" vertical="center"/>
    </xf>
    <xf numFmtId="1" fontId="4" fillId="2" borderId="185" xfId="0" quotePrefix="1" applyNumberFormat="1" applyFont="1" applyFill="1" applyBorder="1" applyAlignment="1">
      <alignment horizontal="center" vertical="center"/>
    </xf>
    <xf numFmtId="1" fontId="4" fillId="2" borderId="191" xfId="0" applyNumberFormat="1" applyFont="1" applyFill="1" applyBorder="1" applyAlignment="1">
      <alignment horizontal="center" vertical="center"/>
    </xf>
    <xf numFmtId="1" fontId="4" fillId="2" borderId="187" xfId="0" applyNumberFormat="1" applyFont="1" applyFill="1" applyBorder="1" applyAlignment="1">
      <alignment horizontal="center" vertical="center"/>
    </xf>
    <xf numFmtId="1" fontId="4" fillId="0" borderId="185" xfId="0" applyNumberFormat="1" applyFont="1" applyBorder="1" applyAlignment="1">
      <alignment horizontal="center"/>
    </xf>
    <xf numFmtId="1" fontId="4" fillId="0" borderId="186" xfId="0" applyNumberFormat="1" applyFont="1" applyBorder="1" applyAlignment="1">
      <alignment horizontal="center"/>
    </xf>
    <xf numFmtId="1" fontId="4" fillId="0" borderId="179" xfId="2" quotePrefix="1" applyNumberFormat="1" applyFont="1" applyBorder="1" applyAlignment="1" applyProtection="1">
      <alignment horizontal="center" vertical="center"/>
      <protection hidden="1"/>
    </xf>
    <xf numFmtId="1" fontId="4" fillId="0" borderId="185" xfId="0" applyNumberFormat="1" applyFont="1" applyBorder="1" applyAlignment="1">
      <alignment horizontal="center" vertical="center" wrapText="1"/>
    </xf>
    <xf numFmtId="1" fontId="4" fillId="0" borderId="186" xfId="0" applyNumberFormat="1" applyFont="1" applyBorder="1" applyAlignment="1">
      <alignment horizontal="center" vertical="center" wrapText="1"/>
    </xf>
    <xf numFmtId="164" fontId="4" fillId="0" borderId="182" xfId="1" applyNumberFormat="1" applyFont="1" applyBorder="1" applyAlignment="1">
      <alignment horizontal="center" vertical="center"/>
    </xf>
    <xf numFmtId="164" fontId="4" fillId="0" borderId="62" xfId="1" applyNumberFormat="1" applyFont="1" applyBorder="1" applyAlignment="1">
      <alignment horizontal="center" vertical="center"/>
    </xf>
    <xf numFmtId="164" fontId="4" fillId="0" borderId="13" xfId="1" applyNumberFormat="1" applyFont="1" applyBorder="1" applyAlignment="1">
      <alignment horizontal="center" vertical="center"/>
    </xf>
    <xf numFmtId="1" fontId="5" fillId="3" borderId="191" xfId="2" applyNumberFormat="1" applyFont="1" applyFill="1" applyBorder="1" applyAlignment="1">
      <alignment horizontal="left"/>
    </xf>
    <xf numFmtId="1" fontId="4" fillId="0" borderId="179" xfId="2" applyNumberFormat="1" applyFont="1" applyBorder="1" applyAlignment="1">
      <alignment horizontal="center" vertical="center" wrapText="1"/>
    </xf>
    <xf numFmtId="1" fontId="4" fillId="0" borderId="181" xfId="2" applyNumberFormat="1" applyFont="1" applyBorder="1" applyAlignment="1">
      <alignment horizontal="center" vertical="center"/>
    </xf>
    <xf numFmtId="1" fontId="4" fillId="0" borderId="184" xfId="2" applyNumberFormat="1" applyFont="1" applyBorder="1" applyAlignment="1">
      <alignment horizontal="center" vertical="center"/>
    </xf>
    <xf numFmtId="1" fontId="4" fillId="0" borderId="182" xfId="2" applyNumberFormat="1" applyFont="1" applyBorder="1" applyAlignment="1">
      <alignment horizontal="center" vertical="center"/>
    </xf>
    <xf numFmtId="1" fontId="4" fillId="0" borderId="192" xfId="0" quotePrefix="1" applyNumberFormat="1" applyFont="1" applyBorder="1" applyAlignment="1">
      <alignment horizontal="center"/>
    </xf>
    <xf numFmtId="1" fontId="4" fillId="0" borderId="192" xfId="0" applyNumberFormat="1" applyFont="1" applyBorder="1" applyAlignment="1">
      <alignment horizontal="center"/>
    </xf>
    <xf numFmtId="1" fontId="4" fillId="0" borderId="193" xfId="0" applyNumberFormat="1" applyFont="1" applyBorder="1" applyAlignment="1">
      <alignment horizontal="center"/>
    </xf>
    <xf numFmtId="1" fontId="4" fillId="0" borderId="185" xfId="6" applyNumberFormat="1" applyFont="1" applyBorder="1" applyAlignment="1">
      <alignment horizontal="center" vertical="center" wrapText="1"/>
    </xf>
    <xf numFmtId="1" fontId="4" fillId="0" borderId="186" xfId="6" applyNumberFormat="1" applyFont="1" applyBorder="1" applyAlignment="1">
      <alignment horizontal="center" vertical="center" wrapText="1"/>
    </xf>
    <xf numFmtId="1" fontId="4" fillId="0" borderId="187" xfId="6" applyNumberFormat="1" applyFont="1" applyBorder="1" applyAlignment="1">
      <alignment horizontal="center" vertical="center" wrapText="1"/>
    </xf>
    <xf numFmtId="1" fontId="5" fillId="0" borderId="3" xfId="2" applyNumberFormat="1" applyFont="1" applyBorder="1" applyAlignment="1">
      <alignment horizontal="left"/>
    </xf>
    <xf numFmtId="1" fontId="4" fillId="0" borderId="181" xfId="2" applyNumberFormat="1" applyFont="1" applyBorder="1" applyAlignment="1">
      <alignment horizontal="center" vertical="center" wrapText="1"/>
    </xf>
    <xf numFmtId="1" fontId="4" fillId="0" borderId="182" xfId="2" applyNumberFormat="1" applyFont="1" applyBorder="1" applyAlignment="1">
      <alignment horizontal="center" vertical="center" wrapText="1"/>
    </xf>
    <xf numFmtId="1" fontId="4" fillId="0" borderId="126" xfId="2" applyNumberFormat="1" applyFont="1" applyBorder="1" applyAlignment="1">
      <alignment horizontal="center" vertical="center" wrapText="1"/>
    </xf>
    <xf numFmtId="1" fontId="4" fillId="0" borderId="62" xfId="2" applyNumberFormat="1" applyFont="1" applyBorder="1" applyAlignment="1">
      <alignment horizontal="center" vertical="center" wrapText="1"/>
    </xf>
    <xf numFmtId="1" fontId="4" fillId="0" borderId="12" xfId="2" applyNumberFormat="1" applyFont="1" applyBorder="1" applyAlignment="1">
      <alignment horizontal="center" vertical="center" wrapText="1"/>
    </xf>
    <xf numFmtId="1" fontId="4" fillId="0" borderId="13" xfId="2" applyNumberFormat="1" applyFont="1" applyBorder="1" applyAlignment="1">
      <alignment horizontal="center" vertical="center" wrapText="1"/>
    </xf>
    <xf numFmtId="1" fontId="4" fillId="0" borderId="179" xfId="2" applyNumberFormat="1" applyFont="1" applyBorder="1" applyAlignment="1">
      <alignment horizontal="center" vertical="center"/>
    </xf>
    <xf numFmtId="1" fontId="4" fillId="0" borderId="179" xfId="0" quotePrefix="1" applyNumberFormat="1" applyFont="1" applyBorder="1" applyAlignment="1">
      <alignment horizontal="center"/>
    </xf>
    <xf numFmtId="1" fontId="4" fillId="0" borderId="179" xfId="0" applyNumberFormat="1" applyFont="1" applyBorder="1" applyAlignment="1">
      <alignment horizontal="center"/>
    </xf>
    <xf numFmtId="1" fontId="4" fillId="3" borderId="183" xfId="6" applyNumberFormat="1" applyFont="1" applyFill="1" applyBorder="1" applyAlignment="1">
      <alignment horizontal="center" vertical="center" wrapText="1"/>
    </xf>
    <xf numFmtId="1" fontId="4" fillId="3" borderId="64" xfId="2" applyNumberFormat="1" applyFont="1" applyFill="1" applyBorder="1" applyAlignment="1">
      <alignment horizontal="center" vertical="center"/>
    </xf>
    <xf numFmtId="1" fontId="4" fillId="3" borderId="71" xfId="2" applyNumberFormat="1" applyFont="1" applyFill="1" applyBorder="1" applyAlignment="1">
      <alignment horizontal="center" vertical="center"/>
    </xf>
    <xf numFmtId="1" fontId="4" fillId="3" borderId="32" xfId="2" applyNumberFormat="1" applyFont="1" applyFill="1" applyBorder="1" applyAlignment="1">
      <alignment horizontal="center" vertical="center"/>
    </xf>
    <xf numFmtId="1" fontId="5" fillId="0" borderId="0" xfId="2" applyNumberFormat="1" applyFont="1" applyAlignment="1">
      <alignment horizontal="left"/>
    </xf>
    <xf numFmtId="1" fontId="4" fillId="0" borderId="64" xfId="2" applyNumberFormat="1" applyFont="1" applyBorder="1" applyAlignment="1">
      <alignment horizontal="center" vertical="center" wrapText="1"/>
    </xf>
    <xf numFmtId="1" fontId="4" fillId="0" borderId="32" xfId="2" applyNumberFormat="1" applyFont="1" applyBorder="1" applyAlignment="1">
      <alignment horizontal="center" vertical="center" wrapText="1"/>
    </xf>
    <xf numFmtId="1" fontId="4" fillId="0" borderId="75"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1" fontId="4" fillId="0" borderId="177" xfId="0" applyNumberFormat="1" applyFont="1" applyBorder="1" applyAlignment="1">
      <alignment horizontal="center" vertical="center" wrapText="1"/>
    </xf>
    <xf numFmtId="1" fontId="4" fillId="0" borderId="99"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14" xfId="3" applyNumberFormat="1" applyFont="1" applyBorder="1" applyAlignment="1">
      <alignment horizontal="left" vertical="center" wrapText="1"/>
    </xf>
    <xf numFmtId="1" fontId="4" fillId="0" borderId="49" xfId="3" applyNumberFormat="1" applyFont="1" applyBorder="1" applyAlignment="1">
      <alignment horizontal="left" vertical="center" wrapText="1"/>
    </xf>
    <xf numFmtId="1" fontId="4" fillId="0" borderId="114" xfId="2" applyNumberFormat="1" applyFont="1" applyBorder="1" applyAlignment="1">
      <alignment horizontal="left" vertical="center" wrapText="1"/>
    </xf>
    <xf numFmtId="1" fontId="4" fillId="0" borderId="49" xfId="2" applyNumberFormat="1" applyFont="1" applyBorder="1" applyAlignment="1">
      <alignment horizontal="left" vertical="center" wrapText="1"/>
    </xf>
    <xf numFmtId="1" fontId="4" fillId="0" borderId="119" xfId="2" applyNumberFormat="1" applyFont="1" applyBorder="1" applyAlignment="1">
      <alignment horizontal="left" vertical="center" wrapText="1"/>
    </xf>
    <xf numFmtId="1" fontId="4" fillId="0" borderId="69" xfId="2" applyNumberFormat="1" applyFont="1" applyBorder="1" applyAlignment="1">
      <alignment horizontal="left" vertical="center" wrapText="1"/>
    </xf>
    <xf numFmtId="1" fontId="4" fillId="0" borderId="63" xfId="2" applyNumberFormat="1" applyFont="1" applyBorder="1" applyAlignment="1">
      <alignment horizontal="center" vertical="center" wrapText="1"/>
    </xf>
    <xf numFmtId="1" fontId="4" fillId="0" borderId="165" xfId="2" applyNumberFormat="1" applyFont="1" applyBorder="1" applyAlignment="1">
      <alignment horizontal="center" vertical="center" wrapText="1"/>
    </xf>
    <xf numFmtId="1" fontId="4" fillId="0" borderId="169" xfId="2" applyNumberFormat="1" applyFont="1" applyBorder="1" applyAlignment="1">
      <alignment horizontal="center" vertical="center"/>
    </xf>
    <xf numFmtId="1" fontId="4" fillId="3" borderId="114" xfId="3" applyNumberFormat="1" applyFont="1" applyFill="1" applyBorder="1" applyAlignment="1">
      <alignment horizontal="left" vertical="center" wrapText="1"/>
    </xf>
    <xf numFmtId="1" fontId="4" fillId="3" borderId="49" xfId="3" applyNumberFormat="1" applyFont="1" applyFill="1" applyBorder="1" applyAlignment="1">
      <alignment horizontal="left" vertical="center" wrapText="1"/>
    </xf>
    <xf numFmtId="1" fontId="4" fillId="3" borderId="114" xfId="2" applyNumberFormat="1" applyFont="1" applyFill="1" applyBorder="1" applyAlignment="1">
      <alignment horizontal="left" vertical="center" wrapText="1"/>
    </xf>
    <xf numFmtId="1" fontId="4" fillId="3" borderId="49" xfId="2" applyNumberFormat="1" applyFont="1" applyFill="1" applyBorder="1" applyAlignment="1">
      <alignment horizontal="left" vertical="center" wrapText="1"/>
    </xf>
    <xf numFmtId="1" fontId="4" fillId="0" borderId="64" xfId="3" applyNumberFormat="1" applyFont="1" applyBorder="1" applyAlignment="1">
      <alignment horizontal="left" vertical="center" wrapText="1"/>
    </xf>
    <xf numFmtId="1" fontId="4" fillId="0" borderId="32" xfId="0" applyNumberFormat="1" applyFont="1" applyBorder="1" applyAlignment="1">
      <alignment horizontal="left" vertical="center" wrapText="1"/>
    </xf>
    <xf numFmtId="1" fontId="4" fillId="0" borderId="113" xfId="1" applyNumberFormat="1" applyFont="1" applyBorder="1" applyAlignment="1">
      <alignment horizontal="left" vertical="center" wrapText="1"/>
    </xf>
    <xf numFmtId="1" fontId="4" fillId="0" borderId="30" xfId="1" applyNumberFormat="1" applyFont="1" applyBorder="1" applyAlignment="1">
      <alignment horizontal="left" vertical="center" wrapText="1"/>
    </xf>
    <xf numFmtId="1" fontId="4" fillId="0" borderId="114" xfId="1" applyNumberFormat="1" applyFont="1" applyBorder="1" applyAlignment="1">
      <alignment horizontal="left" vertical="center" wrapText="1"/>
    </xf>
    <xf numFmtId="1" fontId="4" fillId="0" borderId="49" xfId="1" applyNumberFormat="1" applyFont="1" applyBorder="1" applyAlignment="1">
      <alignment horizontal="left" vertical="center" wrapText="1"/>
    </xf>
    <xf numFmtId="1" fontId="4" fillId="0" borderId="117" xfId="0" applyNumberFormat="1" applyFont="1" applyBorder="1" applyAlignment="1">
      <alignment horizontal="left" vertical="center"/>
    </xf>
    <xf numFmtId="1" fontId="4" fillId="0" borderId="49" xfId="0" applyNumberFormat="1" applyFont="1" applyBorder="1" applyAlignment="1">
      <alignment horizontal="left" vertical="center"/>
    </xf>
    <xf numFmtId="1" fontId="4" fillId="0" borderId="64" xfId="1" applyNumberFormat="1" applyFont="1" applyBorder="1" applyAlignment="1">
      <alignment horizontal="left" vertical="center" wrapText="1"/>
    </xf>
    <xf numFmtId="1" fontId="4" fillId="0" borderId="71" xfId="0" applyNumberFormat="1" applyFont="1" applyBorder="1" applyAlignment="1">
      <alignment horizontal="left" vertical="center" wrapText="1"/>
    </xf>
    <xf numFmtId="1" fontId="4" fillId="0" borderId="5" xfId="3" applyNumberFormat="1" applyFont="1" applyBorder="1" applyAlignment="1">
      <alignment horizontal="left" vertical="center" wrapText="1"/>
    </xf>
    <xf numFmtId="1" fontId="4" fillId="0" borderId="62" xfId="0" applyNumberFormat="1" applyFont="1" applyBorder="1" applyAlignment="1">
      <alignment horizontal="left" vertical="center" wrapText="1"/>
    </xf>
    <xf numFmtId="1" fontId="4" fillId="0" borderId="13" xfId="0" applyNumberFormat="1" applyFont="1" applyBorder="1" applyAlignment="1">
      <alignment horizontal="left" vertical="center" wrapText="1"/>
    </xf>
    <xf numFmtId="1" fontId="4" fillId="0" borderId="132" xfId="6" applyNumberFormat="1" applyFont="1" applyBorder="1" applyAlignment="1">
      <alignment horizontal="center" vertical="center" wrapText="1"/>
    </xf>
    <xf numFmtId="1" fontId="4" fillId="0" borderId="5" xfId="6" applyNumberFormat="1" applyFont="1" applyBorder="1" applyAlignment="1">
      <alignment horizontal="center" vertical="center" wrapText="1"/>
    </xf>
    <xf numFmtId="1" fontId="4" fillId="0" borderId="133" xfId="6" applyNumberFormat="1" applyFont="1" applyBorder="1" applyAlignment="1">
      <alignment horizontal="center" vertical="center" wrapText="1"/>
    </xf>
    <xf numFmtId="1" fontId="4" fillId="0" borderId="13" xfId="6" applyNumberFormat="1" applyFont="1" applyBorder="1" applyAlignment="1">
      <alignment horizontal="center" vertical="center" wrapText="1"/>
    </xf>
    <xf numFmtId="1" fontId="4" fillId="0" borderId="121" xfId="0" applyNumberFormat="1" applyFont="1" applyBorder="1" applyAlignment="1">
      <alignment horizontal="center" vertical="center"/>
    </xf>
    <xf numFmtId="1" fontId="4" fillId="0" borderId="10" xfId="0" applyNumberFormat="1" applyFont="1" applyBorder="1" applyAlignment="1">
      <alignment horizontal="center" vertical="center"/>
    </xf>
    <xf numFmtId="1" fontId="4" fillId="0" borderId="123" xfId="2" quotePrefix="1" applyNumberFormat="1" applyFont="1" applyBorder="1" applyAlignment="1" applyProtection="1">
      <alignment horizontal="center" vertical="center"/>
      <protection hidden="1"/>
    </xf>
    <xf numFmtId="1" fontId="4" fillId="0" borderId="121" xfId="0" applyNumberFormat="1" applyFont="1" applyBorder="1" applyAlignment="1">
      <alignment horizontal="center" vertical="center" wrapText="1"/>
    </xf>
    <xf numFmtId="1" fontId="3" fillId="0" borderId="0" xfId="2" applyNumberFormat="1" applyFont="1" applyAlignment="1">
      <alignment horizontal="center" vertical="center" wrapText="1"/>
    </xf>
    <xf numFmtId="1" fontId="2" fillId="0" borderId="4" xfId="2" applyNumberFormat="1" applyFont="1" applyBorder="1" applyAlignment="1">
      <alignment horizontal="center" vertical="center" wrapText="1"/>
    </xf>
    <xf numFmtId="1" fontId="2" fillId="0" borderId="5" xfId="2" applyNumberFormat="1" applyFont="1" applyBorder="1" applyAlignment="1">
      <alignment horizontal="center" vertical="center" wrapText="1"/>
    </xf>
    <xf numFmtId="1" fontId="2" fillId="0" borderId="126" xfId="2" applyNumberFormat="1" applyFont="1" applyBorder="1" applyAlignment="1">
      <alignment horizontal="center" vertical="center" wrapText="1"/>
    </xf>
    <xf numFmtId="1" fontId="2" fillId="0" borderId="62" xfId="2" applyNumberFormat="1" applyFont="1" applyBorder="1" applyAlignment="1">
      <alignment horizontal="center" vertical="center" wrapText="1"/>
    </xf>
    <xf numFmtId="1" fontId="2" fillId="0" borderId="12" xfId="2" applyNumberFormat="1" applyFont="1" applyBorder="1" applyAlignment="1">
      <alignment horizontal="center" vertical="center" wrapText="1"/>
    </xf>
    <xf numFmtId="1" fontId="2" fillId="0" borderId="13" xfId="2" applyNumberFormat="1" applyFont="1" applyBorder="1" applyAlignment="1">
      <alignment horizontal="center" vertical="center" wrapText="1"/>
    </xf>
    <xf numFmtId="1" fontId="4" fillId="0" borderId="123" xfId="0" quotePrefix="1" applyNumberFormat="1" applyFont="1" applyBorder="1" applyAlignment="1">
      <alignment horizontal="center"/>
    </xf>
    <xf numFmtId="1" fontId="4" fillId="0" borderId="123" xfId="0" applyNumberFormat="1" applyFont="1" applyBorder="1" applyAlignment="1">
      <alignment horizontal="center"/>
    </xf>
    <xf numFmtId="1" fontId="4" fillId="0" borderId="121" xfId="0" applyNumberFormat="1" applyFont="1" applyBorder="1" applyAlignment="1">
      <alignment horizontal="center"/>
    </xf>
    <xf numFmtId="1" fontId="4" fillId="0" borderId="157" xfId="6" applyNumberFormat="1" applyFont="1" applyBorder="1" applyAlignment="1">
      <alignment horizontal="center" vertical="center" wrapText="1"/>
    </xf>
    <xf numFmtId="1" fontId="4" fillId="0" borderId="158" xfId="6" applyNumberFormat="1" applyFont="1" applyBorder="1" applyAlignment="1">
      <alignment horizontal="center" vertical="center" wrapText="1"/>
    </xf>
    <xf numFmtId="1" fontId="4" fillId="0" borderId="159" xfId="6" applyNumberFormat="1" applyFont="1" applyBorder="1" applyAlignment="1">
      <alignment horizontal="center" vertical="center" wrapText="1"/>
    </xf>
    <xf numFmtId="1" fontId="4" fillId="0" borderId="102" xfId="6" applyNumberFormat="1" applyFont="1" applyBorder="1" applyAlignment="1">
      <alignment horizontal="center" vertical="center" wrapText="1"/>
    </xf>
    <xf numFmtId="1" fontId="4" fillId="0" borderId="35" xfId="6" applyNumberFormat="1" applyFont="1" applyBorder="1" applyAlignment="1">
      <alignment horizontal="center" vertical="center" wrapText="1"/>
    </xf>
    <xf numFmtId="1" fontId="4" fillId="0" borderId="121" xfId="6" applyNumberFormat="1" applyFont="1" applyBorder="1" applyAlignment="1">
      <alignment horizontal="center" vertical="center" wrapText="1"/>
    </xf>
    <xf numFmtId="1" fontId="4" fillId="0" borderId="10" xfId="6" applyNumberFormat="1" applyFont="1" applyBorder="1" applyAlignment="1">
      <alignment horizontal="center" vertical="center" wrapText="1"/>
    </xf>
    <xf numFmtId="1" fontId="4" fillId="0" borderId="7" xfId="6" applyNumberFormat="1" applyFont="1" applyBorder="1" applyAlignment="1">
      <alignment horizontal="center" vertical="center" wrapText="1"/>
    </xf>
    <xf numFmtId="1" fontId="4" fillId="3" borderId="113" xfId="2" applyNumberFormat="1" applyFont="1" applyFill="1" applyBorder="1" applyAlignment="1" applyProtection="1">
      <alignment horizontal="left" vertical="center" wrapText="1"/>
      <protection hidden="1"/>
    </xf>
    <xf numFmtId="1" fontId="4" fillId="3" borderId="30" xfId="2" applyNumberFormat="1" applyFont="1" applyFill="1" applyBorder="1" applyAlignment="1" applyProtection="1">
      <alignment horizontal="left" vertical="center" wrapText="1"/>
      <protection hidden="1"/>
    </xf>
    <xf numFmtId="1" fontId="4" fillId="3" borderId="114" xfId="2" applyNumberFormat="1" applyFont="1" applyFill="1" applyBorder="1" applyAlignment="1" applyProtection="1">
      <alignment horizontal="left" vertical="center" wrapText="1"/>
      <protection hidden="1"/>
    </xf>
    <xf numFmtId="1" fontId="4" fillId="3" borderId="49" xfId="2" applyNumberFormat="1" applyFont="1" applyFill="1" applyBorder="1" applyAlignment="1" applyProtection="1">
      <alignment horizontal="left" vertical="center" wrapText="1"/>
      <protection hidden="1"/>
    </xf>
    <xf numFmtId="1" fontId="4" fillId="3" borderId="119" xfId="2" applyNumberFormat="1" applyFont="1" applyFill="1" applyBorder="1" applyAlignment="1" applyProtection="1">
      <alignment horizontal="left" vertical="center" wrapText="1"/>
      <protection hidden="1"/>
    </xf>
    <xf numFmtId="1" fontId="4" fillId="3" borderId="69" xfId="2" applyNumberFormat="1" applyFont="1" applyFill="1" applyBorder="1" applyAlignment="1" applyProtection="1">
      <alignment horizontal="left" vertical="center" wrapText="1"/>
      <protection hidden="1"/>
    </xf>
    <xf numFmtId="1" fontId="4" fillId="0" borderId="119" xfId="2" applyNumberFormat="1" applyFont="1" applyBorder="1" applyAlignment="1" applyProtection="1">
      <alignment horizontal="left" vertical="center" wrapText="1"/>
      <protection hidden="1"/>
    </xf>
    <xf numFmtId="1" fontId="4" fillId="0" borderId="69" xfId="2" applyNumberFormat="1" applyFont="1" applyBorder="1" applyAlignment="1" applyProtection="1">
      <alignment horizontal="left" vertical="center" wrapText="1"/>
      <protection hidden="1"/>
    </xf>
    <xf numFmtId="1" fontId="2" fillId="0" borderId="12" xfId="2" applyNumberFormat="1" applyFont="1" applyBorder="1" applyAlignment="1" applyProtection="1">
      <alignment horizontal="left" vertical="center" wrapText="1"/>
      <protection hidden="1"/>
    </xf>
    <xf numFmtId="1" fontId="2" fillId="0" borderId="3" xfId="2" applyNumberFormat="1" applyFont="1" applyBorder="1" applyAlignment="1" applyProtection="1">
      <alignment horizontal="left" vertical="center" wrapText="1"/>
      <protection hidden="1"/>
    </xf>
    <xf numFmtId="1" fontId="4" fillId="0" borderId="247" xfId="0" applyNumberFormat="1" applyFont="1" applyBorder="1" applyAlignment="1">
      <alignment horizontal="center"/>
    </xf>
    <xf numFmtId="1" fontId="4" fillId="0" borderId="202" xfId="0" applyNumberFormat="1" applyFont="1" applyBorder="1" applyAlignment="1">
      <alignment horizontal="center"/>
    </xf>
    <xf numFmtId="0" fontId="4" fillId="3" borderId="114" xfId="2" applyFont="1" applyFill="1" applyBorder="1" applyAlignment="1">
      <alignment horizontal="left"/>
    </xf>
    <xf numFmtId="0" fontId="4" fillId="3" borderId="49" xfId="2" applyFont="1" applyFill="1" applyBorder="1" applyAlignment="1">
      <alignment horizontal="left"/>
    </xf>
    <xf numFmtId="0" fontId="4" fillId="3" borderId="119" xfId="2" applyFont="1" applyFill="1" applyBorder="1" applyAlignment="1">
      <alignment horizontal="left" vertical="center"/>
    </xf>
    <xf numFmtId="0" fontId="4" fillId="3" borderId="69" xfId="2" applyFont="1" applyFill="1" applyBorder="1" applyAlignment="1">
      <alignment horizontal="left" vertical="center"/>
    </xf>
    <xf numFmtId="1" fontId="4" fillId="0" borderId="247" xfId="0" applyNumberFormat="1" applyFont="1" applyBorder="1" applyAlignment="1" applyProtection="1">
      <alignment horizontal="center"/>
      <protection hidden="1"/>
    </xf>
    <xf numFmtId="1" fontId="4" fillId="0" borderId="202" xfId="0" applyNumberFormat="1" applyFont="1" applyBorder="1" applyAlignment="1" applyProtection="1">
      <alignment horizontal="center"/>
      <protection hidden="1"/>
    </xf>
    <xf numFmtId="1" fontId="4" fillId="0" borderId="113" xfId="2" applyNumberFormat="1" applyFont="1" applyBorder="1" applyAlignment="1" applyProtection="1">
      <alignment horizontal="left" vertical="center" wrapText="1"/>
      <protection hidden="1"/>
    </xf>
    <xf numFmtId="1" fontId="4" fillId="0" borderId="30" xfId="2" applyNumberFormat="1" applyFont="1" applyBorder="1" applyAlignment="1" applyProtection="1">
      <alignment horizontal="left" vertical="center" wrapText="1"/>
      <protection hidden="1"/>
    </xf>
    <xf numFmtId="1" fontId="4" fillId="3" borderId="119" xfId="2" applyNumberFormat="1" applyFont="1" applyFill="1" applyBorder="1" applyAlignment="1" applyProtection="1">
      <alignment horizontal="left" vertical="center"/>
      <protection hidden="1"/>
    </xf>
    <xf numFmtId="1" fontId="4" fillId="3" borderId="69" xfId="2" applyNumberFormat="1" applyFont="1" applyFill="1" applyBorder="1" applyAlignment="1" applyProtection="1">
      <alignment horizontal="left" vertical="center"/>
      <protection hidden="1"/>
    </xf>
    <xf numFmtId="1" fontId="4" fillId="0" borderId="71" xfId="2" applyNumberFormat="1" applyFont="1" applyBorder="1" applyAlignment="1" applyProtection="1">
      <alignment horizontal="center" vertical="center" wrapText="1"/>
      <protection hidden="1"/>
    </xf>
    <xf numFmtId="1" fontId="4" fillId="0" borderId="32" xfId="2" applyNumberFormat="1" applyFont="1" applyBorder="1" applyAlignment="1" applyProtection="1">
      <alignment horizontal="center" vertical="center" wrapText="1"/>
      <protection hidden="1"/>
    </xf>
    <xf numFmtId="1" fontId="4" fillId="0" borderId="206" xfId="2" applyNumberFormat="1" applyFont="1" applyBorder="1" applyAlignment="1" applyProtection="1">
      <alignment horizontal="left" vertical="center" wrapText="1"/>
      <protection hidden="1"/>
    </xf>
    <xf numFmtId="1" fontId="4" fillId="0" borderId="71" xfId="2" applyNumberFormat="1" applyFont="1" applyBorder="1" applyAlignment="1" applyProtection="1">
      <alignment horizontal="left" vertical="center" wrapText="1"/>
      <protection hidden="1"/>
    </xf>
    <xf numFmtId="1" fontId="4" fillId="0" borderId="32" xfId="2" applyNumberFormat="1" applyFont="1" applyBorder="1" applyAlignment="1" applyProtection="1">
      <alignment horizontal="left" vertical="center" wrapText="1"/>
      <protection hidden="1"/>
    </xf>
    <xf numFmtId="0" fontId="4" fillId="3" borderId="113" xfId="2" applyFont="1" applyFill="1" applyBorder="1" applyAlignment="1">
      <alignment horizontal="left"/>
    </xf>
    <xf numFmtId="0" fontId="4" fillId="3" borderId="30" xfId="2" applyFont="1" applyFill="1" applyBorder="1" applyAlignment="1">
      <alignment horizontal="left"/>
    </xf>
    <xf numFmtId="1" fontId="4" fillId="0" borderId="114" xfId="2" applyNumberFormat="1" applyFont="1" applyBorder="1" applyAlignment="1" applyProtection="1">
      <alignment horizontal="left" wrapText="1"/>
      <protection hidden="1"/>
    </xf>
    <xf numFmtId="1" fontId="4" fillId="0" borderId="49" xfId="2" applyNumberFormat="1" applyFont="1" applyBorder="1" applyAlignment="1" applyProtection="1">
      <alignment horizontal="left" wrapText="1"/>
      <protection hidden="1"/>
    </xf>
    <xf numFmtId="1" fontId="4" fillId="0" borderId="0" xfId="0" applyNumberFormat="1" applyFont="1" applyAlignment="1">
      <alignment horizontal="center" vertical="center" wrapText="1"/>
    </xf>
    <xf numFmtId="1" fontId="4" fillId="0" borderId="114" xfId="2" applyNumberFormat="1" applyFont="1" applyBorder="1" applyAlignment="1" applyProtection="1">
      <alignment horizontal="left" vertical="center"/>
      <protection hidden="1"/>
    </xf>
    <xf numFmtId="1" fontId="4" fillId="0" borderId="49" xfId="2" applyNumberFormat="1" applyFont="1" applyBorder="1" applyAlignment="1" applyProtection="1">
      <alignment horizontal="left" vertical="center"/>
      <protection hidden="1"/>
    </xf>
    <xf numFmtId="1" fontId="4" fillId="3" borderId="114" xfId="2" applyNumberFormat="1" applyFont="1" applyFill="1" applyBorder="1" applyAlignment="1" applyProtection="1">
      <alignment horizontal="left" vertical="center"/>
      <protection hidden="1"/>
    </xf>
    <xf numFmtId="1" fontId="4" fillId="3" borderId="49" xfId="2" applyNumberFormat="1" applyFont="1" applyFill="1" applyBorder="1" applyAlignment="1" applyProtection="1">
      <alignment horizontal="left" vertical="center"/>
      <protection hidden="1"/>
    </xf>
    <xf numFmtId="1" fontId="4" fillId="0" borderId="114" xfId="2" applyNumberFormat="1" applyFont="1" applyBorder="1" applyAlignment="1" applyProtection="1">
      <alignment horizontal="left" vertical="center" wrapText="1"/>
      <protection hidden="1"/>
    </xf>
    <xf numFmtId="1" fontId="4" fillId="0" borderId="49" xfId="2" applyNumberFormat="1" applyFont="1" applyBorder="1" applyAlignment="1" applyProtection="1">
      <alignment horizontal="left" vertical="center" wrapText="1"/>
      <protection hidden="1"/>
    </xf>
    <xf numFmtId="1" fontId="4" fillId="0" borderId="230" xfId="2" quotePrefix="1" applyNumberFormat="1" applyFont="1" applyBorder="1" applyAlignment="1" applyProtection="1">
      <alignment horizontal="center" vertical="center"/>
      <protection hidden="1"/>
    </xf>
    <xf numFmtId="1" fontId="4" fillId="0" borderId="202" xfId="2" quotePrefix="1" applyNumberFormat="1" applyFont="1" applyBorder="1" applyAlignment="1" applyProtection="1">
      <alignment horizontal="center" vertical="center"/>
      <protection hidden="1"/>
    </xf>
    <xf numFmtId="1" fontId="4" fillId="0" borderId="230" xfId="2" quotePrefix="1" applyNumberFormat="1" applyFont="1" applyBorder="1" applyAlignment="1">
      <alignment horizontal="center" vertical="center"/>
    </xf>
    <xf numFmtId="1" fontId="4" fillId="0" borderId="202" xfId="2" quotePrefix="1" applyNumberFormat="1" applyFont="1" applyBorder="1" applyAlignment="1">
      <alignment horizontal="center" vertical="center"/>
    </xf>
    <xf numFmtId="1" fontId="4" fillId="0" borderId="230" xfId="0" applyNumberFormat="1" applyFont="1" applyBorder="1" applyAlignment="1">
      <alignment horizontal="center" vertical="center" wrapText="1"/>
    </xf>
    <xf numFmtId="1" fontId="4" fillId="0" borderId="202" xfId="0" applyNumberFormat="1" applyFont="1" applyBorder="1" applyAlignment="1">
      <alignment horizontal="center" vertical="center" wrapText="1"/>
    </xf>
    <xf numFmtId="1" fontId="2" fillId="0" borderId="198" xfId="2" applyNumberFormat="1" applyFont="1" applyBorder="1" applyAlignment="1" applyProtection="1">
      <alignment horizontal="center" vertical="center"/>
      <protection hidden="1"/>
    </xf>
    <xf numFmtId="1" fontId="2" fillId="0" borderId="199" xfId="2" applyNumberFormat="1" applyFont="1" applyBorder="1" applyAlignment="1" applyProtection="1">
      <alignment horizontal="center" vertical="center"/>
      <protection hidden="1"/>
    </xf>
    <xf numFmtId="1" fontId="2" fillId="0" borderId="126" xfId="2" applyNumberFormat="1" applyFont="1" applyBorder="1" applyAlignment="1" applyProtection="1">
      <alignment horizontal="center" vertical="center"/>
      <protection hidden="1"/>
    </xf>
    <xf numFmtId="1" fontId="2" fillId="0" borderId="62" xfId="2" applyNumberFormat="1" applyFont="1" applyBorder="1" applyAlignment="1" applyProtection="1">
      <alignment horizontal="center" vertical="center"/>
      <protection hidden="1"/>
    </xf>
    <xf numFmtId="1" fontId="2" fillId="0" borderId="12" xfId="2" applyNumberFormat="1" applyFont="1" applyBorder="1" applyAlignment="1" applyProtection="1">
      <alignment horizontal="center" vertical="center"/>
      <protection hidden="1"/>
    </xf>
    <xf numFmtId="1" fontId="2" fillId="0" borderId="13" xfId="2" applyNumberFormat="1" applyFont="1" applyBorder="1" applyAlignment="1" applyProtection="1">
      <alignment horizontal="center" vertical="center"/>
      <protection hidden="1"/>
    </xf>
    <xf numFmtId="1" fontId="4" fillId="0" borderId="198" xfId="2" applyNumberFormat="1" applyFont="1" applyBorder="1" applyAlignment="1" applyProtection="1">
      <alignment horizontal="center" vertical="center" wrapText="1"/>
      <protection hidden="1"/>
    </xf>
    <xf numFmtId="1" fontId="4" fillId="0" borderId="205" xfId="2" applyNumberFormat="1" applyFont="1" applyBorder="1" applyAlignment="1" applyProtection="1">
      <alignment horizontal="center" vertical="center" wrapText="1"/>
      <protection hidden="1"/>
    </xf>
    <xf numFmtId="1" fontId="4" fillId="0" borderId="199" xfId="2" applyNumberFormat="1" applyFont="1" applyBorder="1" applyAlignment="1" applyProtection="1">
      <alignment horizontal="center" vertical="center" wrapText="1"/>
      <protection hidden="1"/>
    </xf>
    <xf numFmtId="1" fontId="4" fillId="0" borderId="12" xfId="2" applyNumberFormat="1" applyFont="1" applyBorder="1" applyAlignment="1" applyProtection="1">
      <alignment horizontal="center" vertical="center" wrapText="1"/>
      <protection hidden="1"/>
    </xf>
    <xf numFmtId="1" fontId="4" fillId="0" borderId="3" xfId="2" applyNumberFormat="1" applyFont="1" applyBorder="1" applyAlignment="1" applyProtection="1">
      <alignment horizontal="center" vertical="center" wrapText="1"/>
      <protection hidden="1"/>
    </xf>
    <xf numFmtId="1" fontId="4" fillId="0" borderId="13" xfId="2" applyNumberFormat="1" applyFont="1" applyBorder="1" applyAlignment="1" applyProtection="1">
      <alignment horizontal="center" vertical="center" wrapText="1"/>
      <protection hidden="1"/>
    </xf>
    <xf numFmtId="1" fontId="4" fillId="0" borderId="230" xfId="0" quotePrefix="1" applyNumberFormat="1" applyFont="1" applyBorder="1" applyAlignment="1">
      <alignment horizontal="center"/>
    </xf>
    <xf numFmtId="1" fontId="4" fillId="0" borderId="197" xfId="0" applyNumberFormat="1" applyFont="1" applyBorder="1" applyAlignment="1">
      <alignment horizontal="center"/>
    </xf>
    <xf numFmtId="1" fontId="4" fillId="0" borderId="210" xfId="0" applyNumberFormat="1" applyFont="1" applyBorder="1" applyAlignment="1">
      <alignment horizontal="center" vertical="center" wrapText="1"/>
    </xf>
    <xf numFmtId="1" fontId="4" fillId="0" borderId="221" xfId="0" applyNumberFormat="1" applyFont="1" applyBorder="1" applyAlignment="1">
      <alignment horizontal="center" vertical="center" wrapText="1"/>
    </xf>
    <xf numFmtId="1" fontId="4" fillId="0" borderId="133" xfId="0" applyNumberFormat="1" applyFont="1" applyBorder="1" applyAlignment="1">
      <alignment horizontal="center" vertical="center" wrapText="1"/>
    </xf>
    <xf numFmtId="1" fontId="4" fillId="0" borderId="205" xfId="0" applyNumberFormat="1" applyFont="1" applyBorder="1" applyAlignment="1">
      <alignment horizontal="center" vertical="center" wrapText="1"/>
    </xf>
    <xf numFmtId="1" fontId="4" fillId="0" borderId="199"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230" xfId="6" applyNumberFormat="1" applyFont="1" applyBorder="1" applyAlignment="1">
      <alignment horizontal="center" vertical="center" wrapText="1"/>
    </xf>
    <xf numFmtId="1" fontId="4" fillId="0" borderId="202" xfId="6" applyNumberFormat="1" applyFont="1" applyBorder="1" applyAlignment="1">
      <alignment horizontal="center" vertical="center" wrapText="1"/>
    </xf>
    <xf numFmtId="1" fontId="4" fillId="0" borderId="206" xfId="0" applyNumberFormat="1" applyFont="1" applyBorder="1" applyAlignment="1">
      <alignment horizontal="center" vertical="center" wrapText="1"/>
    </xf>
    <xf numFmtId="1" fontId="4" fillId="0" borderId="206" xfId="2" applyNumberFormat="1" applyFont="1" applyBorder="1" applyAlignment="1" applyProtection="1">
      <alignment horizontal="center" vertical="center" wrapText="1"/>
      <protection hidden="1"/>
    </xf>
    <xf numFmtId="1" fontId="4" fillId="2" borderId="206" xfId="2" applyNumberFormat="1" applyFont="1" applyFill="1" applyBorder="1" applyAlignment="1" applyProtection="1">
      <alignment horizontal="center" vertical="center" wrapText="1"/>
      <protection hidden="1"/>
    </xf>
    <xf numFmtId="1" fontId="4" fillId="2" borderId="71" xfId="2" applyNumberFormat="1" applyFont="1" applyFill="1" applyBorder="1" applyAlignment="1" applyProtection="1">
      <alignment horizontal="center" vertical="center" wrapText="1"/>
      <protection hidden="1"/>
    </xf>
    <xf numFmtId="1" fontId="4" fillId="2" borderId="32" xfId="2" applyNumberFormat="1" applyFont="1" applyFill="1" applyBorder="1" applyAlignment="1" applyProtection="1">
      <alignment horizontal="center" vertical="center" wrapText="1"/>
      <protection hidden="1"/>
    </xf>
    <xf numFmtId="1" fontId="5" fillId="0" borderId="3" xfId="2" applyNumberFormat="1" applyFont="1" applyBorder="1" applyAlignment="1" applyProtection="1">
      <alignment horizontal="left" wrapText="1"/>
      <protection hidden="1"/>
    </xf>
    <xf numFmtId="1" fontId="4" fillId="0" borderId="8" xfId="0" applyNumberFormat="1" applyFont="1" applyBorder="1" applyAlignment="1">
      <alignment horizontal="center"/>
    </xf>
    <xf numFmtId="1" fontId="4" fillId="0" borderId="8" xfId="6" applyNumberFormat="1" applyFont="1" applyBorder="1" applyAlignment="1">
      <alignment horizontal="center" vertical="center" wrapText="1"/>
    </xf>
    <xf numFmtId="1" fontId="4" fillId="0" borderId="122" xfId="2" applyNumberFormat="1" applyFont="1" applyBorder="1" applyAlignment="1" applyProtection="1">
      <alignment horizontal="left" vertical="center" wrapText="1"/>
      <protection hidden="1"/>
    </xf>
    <xf numFmtId="1" fontId="4" fillId="0" borderId="90" xfId="2" applyNumberFormat="1" applyFont="1" applyBorder="1" applyAlignment="1" applyProtection="1">
      <alignment horizontal="left" vertical="center" wrapText="1"/>
      <protection hidden="1"/>
    </xf>
    <xf numFmtId="1" fontId="3" fillId="0" borderId="0" xfId="2" applyNumberFormat="1" applyFont="1" applyAlignment="1" applyProtection="1">
      <alignment horizontal="center" vertical="center" wrapText="1"/>
      <protection hidden="1"/>
    </xf>
    <xf numFmtId="1" fontId="5" fillId="0" borderId="3" xfId="2" applyNumberFormat="1" applyFont="1" applyBorder="1" applyAlignment="1" applyProtection="1">
      <alignment horizontal="left"/>
      <protection hidden="1"/>
    </xf>
    <xf numFmtId="1" fontId="4" fillId="0" borderId="126" xfId="2" applyNumberFormat="1" applyFont="1" applyBorder="1" applyAlignment="1" applyProtection="1">
      <alignment horizontal="center" vertical="center" wrapText="1"/>
      <protection hidden="1"/>
    </xf>
    <xf numFmtId="1" fontId="4" fillId="0" borderId="62" xfId="2" applyNumberFormat="1" applyFont="1" applyBorder="1" applyAlignment="1" applyProtection="1">
      <alignment horizontal="center" vertical="center" wrapText="1"/>
      <protection hidden="1"/>
    </xf>
    <xf numFmtId="1" fontId="4" fillId="0" borderId="197" xfId="6" applyNumberFormat="1" applyFont="1" applyBorder="1" applyAlignment="1">
      <alignment horizontal="center" vertical="center" wrapText="1"/>
    </xf>
    <xf numFmtId="0" fontId="4" fillId="0" borderId="200" xfId="0" applyFont="1" applyBorder="1" applyAlignment="1">
      <alignment horizontal="center" vertical="center"/>
    </xf>
    <xf numFmtId="0" fontId="7" fillId="3" borderId="200" xfId="0" applyFont="1" applyFill="1" applyBorder="1" applyAlignment="1">
      <alignment horizontal="center" vertical="center" wrapText="1"/>
    </xf>
    <xf numFmtId="1" fontId="4" fillId="0" borderId="201" xfId="6" applyNumberFormat="1" applyFont="1" applyBorder="1" applyAlignment="1">
      <alignment horizontal="center" vertical="center" wrapText="1"/>
    </xf>
    <xf numFmtId="0" fontId="4" fillId="0" borderId="201" xfId="3" applyFont="1" applyBorder="1" applyAlignment="1" applyProtection="1">
      <alignment horizontal="left"/>
      <protection hidden="1"/>
    </xf>
    <xf numFmtId="0" fontId="4" fillId="0" borderId="202" xfId="3" applyFont="1" applyBorder="1" applyAlignment="1" applyProtection="1">
      <alignment horizontal="left"/>
      <protection hidden="1"/>
    </xf>
    <xf numFmtId="1" fontId="5" fillId="0" borderId="197" xfId="0" applyNumberFormat="1" applyFont="1" applyBorder="1" applyAlignment="1">
      <alignment horizontal="left"/>
    </xf>
    <xf numFmtId="1" fontId="4" fillId="0" borderId="206" xfId="3" applyNumberFormat="1" applyFont="1" applyBorder="1" applyAlignment="1" applyProtection="1">
      <alignment horizontal="center" vertical="center" wrapText="1"/>
      <protection hidden="1"/>
    </xf>
    <xf numFmtId="1" fontId="4" fillId="0" borderId="71" xfId="3" applyNumberFormat="1" applyFont="1" applyBorder="1" applyAlignment="1" applyProtection="1">
      <alignment horizontal="center" vertical="center" wrapText="1"/>
      <protection hidden="1"/>
    </xf>
    <xf numFmtId="1" fontId="4" fillId="0" borderId="32" xfId="3" applyNumberFormat="1" applyFont="1" applyBorder="1" applyAlignment="1" applyProtection="1">
      <alignment horizontal="center" vertical="center" wrapText="1"/>
      <protection hidden="1"/>
    </xf>
    <xf numFmtId="1" fontId="4" fillId="0" borderId="200" xfId="3" applyNumberFormat="1" applyFont="1" applyBorder="1" applyAlignment="1" applyProtection="1">
      <alignment horizontal="center" vertical="center"/>
      <protection hidden="1"/>
    </xf>
    <xf numFmtId="1" fontId="4" fillId="0" borderId="201" xfId="3" quotePrefix="1" applyNumberFormat="1" applyFont="1" applyBorder="1" applyAlignment="1" applyProtection="1">
      <alignment horizontal="center" vertical="center"/>
      <protection hidden="1"/>
    </xf>
    <xf numFmtId="1" fontId="4" fillId="0" borderId="197" xfId="3" quotePrefix="1" applyNumberFormat="1" applyFont="1" applyBorder="1" applyAlignment="1" applyProtection="1">
      <alignment horizontal="center" vertical="center"/>
      <protection hidden="1"/>
    </xf>
    <xf numFmtId="1" fontId="4" fillId="0" borderId="204" xfId="3" quotePrefix="1" applyNumberFormat="1" applyFont="1" applyBorder="1" applyAlignment="1" applyProtection="1">
      <alignment horizontal="center" vertical="center"/>
      <protection hidden="1"/>
    </xf>
    <xf numFmtId="1" fontId="4" fillId="0" borderId="204" xfId="6" applyNumberFormat="1" applyFont="1" applyBorder="1" applyAlignment="1">
      <alignment horizontal="center" vertical="center" wrapText="1"/>
    </xf>
    <xf numFmtId="0" fontId="4" fillId="0" borderId="201" xfId="3" applyFont="1" applyBorder="1" applyAlignment="1" applyProtection="1">
      <alignment horizontal="left" vertical="center" wrapText="1"/>
      <protection hidden="1"/>
    </xf>
    <xf numFmtId="0" fontId="4" fillId="0" borderId="202" xfId="3" applyFont="1" applyBorder="1" applyAlignment="1" applyProtection="1">
      <alignment horizontal="left" vertical="center" wrapText="1"/>
      <protection hidden="1"/>
    </xf>
    <xf numFmtId="1" fontId="5" fillId="0" borderId="197" xfId="3" quotePrefix="1" applyNumberFormat="1" applyFont="1" applyBorder="1" applyAlignment="1" applyProtection="1">
      <alignment horizontal="left"/>
      <protection hidden="1"/>
    </xf>
    <xf numFmtId="1" fontId="5" fillId="0" borderId="205" xfId="3" quotePrefix="1" applyNumberFormat="1" applyFont="1" applyBorder="1" applyAlignment="1" applyProtection="1">
      <alignment horizontal="left"/>
      <protection hidden="1"/>
    </xf>
    <xf numFmtId="1" fontId="4" fillId="0" borderId="200" xfId="3" applyNumberFormat="1" applyFont="1" applyBorder="1" applyAlignment="1" applyProtection="1">
      <alignment horizontal="center" vertical="center" wrapText="1"/>
      <protection hidden="1"/>
    </xf>
    <xf numFmtId="0" fontId="4" fillId="0" borderId="23" xfId="3" applyFont="1" applyBorder="1" applyAlignment="1" applyProtection="1">
      <alignment horizontal="left"/>
      <protection hidden="1"/>
    </xf>
    <xf numFmtId="0" fontId="4" fillId="0" borderId="137" xfId="3" applyFont="1" applyBorder="1" applyAlignment="1" applyProtection="1">
      <alignment horizontal="left"/>
      <protection hidden="1"/>
    </xf>
    <xf numFmtId="0" fontId="4" fillId="0" borderId="48" xfId="3" applyFont="1" applyBorder="1" applyAlignment="1" applyProtection="1">
      <alignment horizontal="left"/>
      <protection hidden="1"/>
    </xf>
    <xf numFmtId="0" fontId="4" fillId="0" borderId="147" xfId="3" applyFont="1" applyBorder="1" applyAlignment="1" applyProtection="1">
      <alignment horizontal="left"/>
      <protection hidden="1"/>
    </xf>
    <xf numFmtId="0" fontId="4" fillId="0" borderId="54" xfId="3" applyFont="1" applyBorder="1" applyAlignment="1" applyProtection="1">
      <alignment horizontal="left"/>
      <protection hidden="1"/>
    </xf>
    <xf numFmtId="0" fontId="4" fillId="0" borderId="153" xfId="3" applyFont="1" applyBorder="1" applyAlignment="1" applyProtection="1">
      <alignment horizontal="left"/>
      <protection hidden="1"/>
    </xf>
    <xf numFmtId="1" fontId="4" fillId="0" borderId="201" xfId="3" applyNumberFormat="1" applyFont="1" applyBorder="1" applyAlignment="1" applyProtection="1">
      <alignment horizontal="center"/>
      <protection hidden="1"/>
    </xf>
    <xf numFmtId="1" fontId="4" fillId="0" borderId="202" xfId="3" applyNumberFormat="1" applyFont="1" applyBorder="1" applyAlignment="1" applyProtection="1">
      <alignment horizontal="center"/>
      <protection hidden="1"/>
    </xf>
    <xf numFmtId="1" fontId="5" fillId="0" borderId="197" xfId="3" applyNumberFormat="1" applyFont="1" applyBorder="1" applyAlignment="1" applyProtection="1">
      <alignment horizontal="left"/>
      <protection hidden="1"/>
    </xf>
    <xf numFmtId="1" fontId="5" fillId="0" borderId="205" xfId="3" applyNumberFormat="1" applyFont="1" applyBorder="1" applyAlignment="1" applyProtection="1">
      <alignment horizontal="left"/>
      <protection hidden="1"/>
    </xf>
    <xf numFmtId="0" fontId="4" fillId="0" borderId="113" xfId="3" applyFont="1" applyBorder="1" applyAlignment="1" applyProtection="1">
      <alignment horizontal="left" vertical="center" wrapText="1"/>
      <protection hidden="1"/>
    </xf>
    <xf numFmtId="0" fontId="4" fillId="0" borderId="30" xfId="3" applyFont="1" applyBorder="1" applyAlignment="1" applyProtection="1">
      <alignment horizontal="left" vertical="center" wrapText="1"/>
      <protection hidden="1"/>
    </xf>
    <xf numFmtId="0" fontId="4" fillId="0" borderId="114" xfId="3" applyFont="1" applyBorder="1" applyAlignment="1" applyProtection="1">
      <alignment horizontal="left" vertical="center" wrapText="1"/>
      <protection hidden="1"/>
    </xf>
    <xf numFmtId="0" fontId="4" fillId="0" borderId="49" xfId="3" applyFont="1" applyBorder="1" applyAlignment="1" applyProtection="1">
      <alignment horizontal="left" vertical="center" wrapText="1"/>
      <protection hidden="1"/>
    </xf>
    <xf numFmtId="0" fontId="4" fillId="0" borderId="119" xfId="3" applyFont="1" applyBorder="1" applyAlignment="1" applyProtection="1">
      <alignment horizontal="left" vertical="center" wrapText="1"/>
      <protection hidden="1"/>
    </xf>
    <xf numFmtId="0" fontId="4" fillId="0" borderId="69" xfId="3" applyFont="1" applyBorder="1" applyAlignment="1" applyProtection="1">
      <alignment horizontal="left" vertical="center" wrapText="1"/>
      <protection hidden="1"/>
    </xf>
    <xf numFmtId="1" fontId="2" fillId="0" borderId="201" xfId="3" applyNumberFormat="1" applyFont="1" applyBorder="1" applyAlignment="1" applyProtection="1">
      <alignment horizontal="center" vertical="center" wrapText="1"/>
      <protection hidden="1"/>
    </xf>
    <xf numFmtId="1" fontId="2" fillId="0" borderId="202" xfId="3" applyNumberFormat="1" applyFont="1" applyBorder="1" applyAlignment="1" applyProtection="1">
      <alignment horizontal="center" vertical="center" wrapText="1"/>
      <protection hidden="1"/>
    </xf>
    <xf numFmtId="165" fontId="4" fillId="0" borderId="119" xfId="3" applyNumberFormat="1" applyFont="1" applyBorder="1" applyAlignment="1" applyProtection="1">
      <alignment horizontal="left"/>
      <protection hidden="1"/>
    </xf>
    <xf numFmtId="165" fontId="4" fillId="0" borderId="142" xfId="3" applyNumberFormat="1" applyFont="1" applyBorder="1" applyAlignment="1" applyProtection="1">
      <alignment horizontal="left"/>
      <protection hidden="1"/>
    </xf>
    <xf numFmtId="1" fontId="2" fillId="0" borderId="201" xfId="3" quotePrefix="1" applyNumberFormat="1" applyFont="1" applyBorder="1" applyAlignment="1" applyProtection="1">
      <alignment horizontal="center" vertical="center" wrapText="1"/>
      <protection hidden="1"/>
    </xf>
    <xf numFmtId="1" fontId="2" fillId="0" borderId="197" xfId="3" quotePrefix="1" applyNumberFormat="1" applyFont="1" applyBorder="1" applyAlignment="1" applyProtection="1">
      <alignment horizontal="center" vertical="center" wrapText="1"/>
      <protection hidden="1"/>
    </xf>
    <xf numFmtId="1" fontId="2" fillId="3" borderId="201" xfId="3" applyNumberFormat="1" applyFont="1" applyFill="1" applyBorder="1" applyAlignment="1" applyProtection="1">
      <alignment horizontal="center" vertical="center" wrapText="1"/>
      <protection hidden="1"/>
    </xf>
    <xf numFmtId="1" fontId="2" fillId="3" borderId="202" xfId="3" applyNumberFormat="1" applyFont="1" applyFill="1" applyBorder="1" applyAlignment="1" applyProtection="1">
      <alignment horizontal="center" vertical="center" wrapText="1"/>
      <protection hidden="1"/>
    </xf>
    <xf numFmtId="1" fontId="4" fillId="0" borderId="198" xfId="3" applyNumberFormat="1" applyFont="1" applyBorder="1" applyAlignment="1" applyProtection="1">
      <alignment horizontal="center" vertical="center" wrapText="1"/>
      <protection hidden="1"/>
    </xf>
    <xf numFmtId="1" fontId="4" fillId="0" borderId="199" xfId="3" applyNumberFormat="1" applyFont="1" applyBorder="1" applyAlignment="1" applyProtection="1">
      <alignment horizontal="center" vertical="center" wrapText="1"/>
      <protection hidden="1"/>
    </xf>
    <xf numFmtId="1" fontId="4" fillId="0" borderId="126" xfId="3" applyNumberFormat="1" applyFont="1" applyBorder="1" applyAlignment="1" applyProtection="1">
      <alignment horizontal="center" vertical="center" wrapText="1"/>
      <protection hidden="1"/>
    </xf>
    <xf numFmtId="1" fontId="4" fillId="0" borderId="62" xfId="3" applyNumberFormat="1" applyFont="1" applyBorder="1" applyAlignment="1" applyProtection="1">
      <alignment horizontal="center" vertical="center" wrapText="1"/>
      <protection hidden="1"/>
    </xf>
    <xf numFmtId="1" fontId="4" fillId="0" borderId="12" xfId="3" applyNumberFormat="1" applyFont="1" applyBorder="1" applyAlignment="1" applyProtection="1">
      <alignment horizontal="center" vertical="center" wrapText="1"/>
      <protection hidden="1"/>
    </xf>
    <xf numFmtId="1" fontId="4" fillId="0" borderId="13" xfId="3" applyNumberFormat="1" applyFont="1" applyBorder="1" applyAlignment="1" applyProtection="1">
      <alignment horizontal="center" vertical="center" wrapText="1"/>
      <protection hidden="1"/>
    </xf>
    <xf numFmtId="1" fontId="2" fillId="0" borderId="200" xfId="3" applyNumberFormat="1" applyFont="1" applyBorder="1" applyAlignment="1" applyProtection="1">
      <alignment horizontal="center" vertical="center"/>
      <protection hidden="1"/>
    </xf>
    <xf numFmtId="1" fontId="4" fillId="0" borderId="12" xfId="3" quotePrefix="1" applyNumberFormat="1" applyFont="1" applyBorder="1" applyAlignment="1" applyProtection="1">
      <alignment horizontal="center" vertical="center"/>
      <protection hidden="1"/>
    </xf>
    <xf numFmtId="1" fontId="4" fillId="0" borderId="3" xfId="3" quotePrefix="1" applyNumberFormat="1" applyFont="1" applyBorder="1" applyAlignment="1" applyProtection="1">
      <alignment horizontal="center" vertical="center"/>
      <protection hidden="1"/>
    </xf>
    <xf numFmtId="1" fontId="4" fillId="0" borderId="35" xfId="3" quotePrefix="1" applyNumberFormat="1" applyFont="1" applyBorder="1" applyAlignment="1" applyProtection="1">
      <alignment horizontal="center" vertical="center"/>
      <protection hidden="1"/>
    </xf>
    <xf numFmtId="0" fontId="4" fillId="0" borderId="117" xfId="3" applyFont="1" applyBorder="1" applyAlignment="1" applyProtection="1">
      <alignment horizontal="left" vertical="center" wrapText="1"/>
      <protection hidden="1"/>
    </xf>
    <xf numFmtId="1" fontId="2" fillId="0" borderId="197" xfId="3" applyNumberFormat="1" applyFont="1" applyBorder="1" applyAlignment="1" applyProtection="1">
      <alignment horizontal="center" vertical="center" wrapText="1"/>
      <protection hidden="1"/>
    </xf>
    <xf numFmtId="165" fontId="4" fillId="0" borderId="114" xfId="3" applyNumberFormat="1" applyFont="1" applyBorder="1" applyAlignment="1" applyProtection="1">
      <alignment horizontal="left"/>
      <protection hidden="1"/>
    </xf>
    <xf numFmtId="165" fontId="4" fillId="0" borderId="49" xfId="3" applyNumberFormat="1" applyFont="1" applyBorder="1" applyAlignment="1" applyProtection="1">
      <alignment horizontal="left"/>
      <protection hidden="1"/>
    </xf>
    <xf numFmtId="165" fontId="4" fillId="0" borderId="117" xfId="3" applyNumberFormat="1" applyFont="1" applyBorder="1" applyAlignment="1" applyProtection="1">
      <alignment horizontal="left"/>
      <protection hidden="1"/>
    </xf>
    <xf numFmtId="1" fontId="4" fillId="0" borderId="181" xfId="0" applyNumberFormat="1" applyFont="1" applyBorder="1" applyAlignment="1">
      <alignment horizontal="center" vertical="center" wrapText="1"/>
    </xf>
    <xf numFmtId="1" fontId="4" fillId="0" borderId="182" xfId="0" applyNumberFormat="1" applyFont="1" applyBorder="1" applyAlignment="1">
      <alignment horizontal="center" vertical="center" wrapText="1"/>
    </xf>
    <xf numFmtId="1" fontId="4" fillId="0" borderId="181" xfId="3" applyNumberFormat="1" applyFont="1" applyBorder="1" applyAlignment="1" applyProtection="1">
      <alignment horizontal="center" vertical="center" wrapText="1"/>
      <protection hidden="1"/>
    </xf>
    <xf numFmtId="1" fontId="4" fillId="0" borderId="182" xfId="3" applyNumberFormat="1" applyFont="1" applyBorder="1" applyAlignment="1" applyProtection="1">
      <alignment horizontal="center" vertical="center" wrapText="1"/>
      <protection hidden="1"/>
    </xf>
    <xf numFmtId="1" fontId="4" fillId="0" borderId="179" xfId="3" applyNumberFormat="1" applyFont="1" applyBorder="1" applyAlignment="1" applyProtection="1">
      <alignment horizontal="center" vertical="center"/>
      <protection hidden="1"/>
    </xf>
    <xf numFmtId="1" fontId="4" fillId="0" borderId="185" xfId="3" quotePrefix="1" applyNumberFormat="1" applyFont="1" applyBorder="1" applyAlignment="1" applyProtection="1">
      <alignment horizontal="center" vertical="center"/>
      <protection hidden="1"/>
    </xf>
    <xf numFmtId="1" fontId="4" fillId="0" borderId="191" xfId="3" quotePrefix="1" applyNumberFormat="1" applyFont="1" applyBorder="1" applyAlignment="1" applyProtection="1">
      <alignment horizontal="center" vertical="center"/>
      <protection hidden="1"/>
    </xf>
    <xf numFmtId="1" fontId="4" fillId="0" borderId="187" xfId="3" quotePrefix="1" applyNumberFormat="1" applyFont="1" applyBorder="1" applyAlignment="1" applyProtection="1">
      <alignment horizontal="center" vertical="center"/>
      <protection hidden="1"/>
    </xf>
    <xf numFmtId="1" fontId="4" fillId="0" borderId="191" xfId="6" applyNumberFormat="1" applyFont="1" applyBorder="1" applyAlignment="1">
      <alignment horizontal="center" vertical="center" wrapText="1"/>
    </xf>
    <xf numFmtId="1" fontId="3" fillId="0" borderId="0" xfId="3" applyNumberFormat="1" applyFont="1" applyAlignment="1" applyProtection="1">
      <alignment horizontal="center" vertical="center" wrapText="1"/>
      <protection hidden="1"/>
    </xf>
    <xf numFmtId="1" fontId="4" fillId="0" borderId="199" xfId="0" applyNumberFormat="1" applyFont="1" applyBorder="1" applyAlignment="1">
      <alignment horizontal="left" vertical="center" wrapText="1"/>
    </xf>
    <xf numFmtId="1" fontId="4" fillId="0" borderId="113" xfId="0" applyNumberFormat="1" applyFont="1" applyBorder="1" applyAlignment="1">
      <alignment horizontal="left" vertical="center" wrapText="1"/>
    </xf>
    <xf numFmtId="1" fontId="4" fillId="0" borderId="30" xfId="0" applyNumberFormat="1" applyFont="1" applyBorder="1" applyAlignment="1">
      <alignment horizontal="left" vertical="center" wrapText="1"/>
    </xf>
    <xf numFmtId="1" fontId="4" fillId="0" borderId="119" xfId="0" applyNumberFormat="1" applyFont="1" applyBorder="1" applyAlignment="1">
      <alignment horizontal="left" vertical="center" wrapText="1"/>
    </xf>
    <xf numFmtId="1" fontId="4" fillId="0" borderId="69" xfId="0" applyNumberFormat="1" applyFont="1" applyBorder="1" applyAlignment="1">
      <alignment horizontal="left" vertical="center" wrapText="1"/>
    </xf>
    <xf numFmtId="1" fontId="4" fillId="0" borderId="206" xfId="0" applyNumberFormat="1" applyFont="1" applyBorder="1" applyAlignment="1">
      <alignment horizontal="left" vertical="center" wrapText="1"/>
    </xf>
    <xf numFmtId="1" fontId="4" fillId="0" borderId="113" xfId="0" applyNumberFormat="1" applyFont="1" applyBorder="1" applyAlignment="1">
      <alignment horizontal="left" wrapText="1"/>
    </xf>
    <xf numFmtId="1" fontId="4" fillId="0" borderId="30" xfId="0" applyNumberFormat="1" applyFont="1" applyBorder="1" applyAlignment="1">
      <alignment horizontal="left" wrapText="1"/>
    </xf>
    <xf numFmtId="1" fontId="4" fillId="0" borderId="114" xfId="0" applyNumberFormat="1" applyFont="1" applyBorder="1" applyAlignment="1">
      <alignment horizontal="left" wrapText="1"/>
    </xf>
    <xf numFmtId="1" fontId="4" fillId="0" borderId="49" xfId="0" applyNumberFormat="1" applyFont="1" applyBorder="1" applyAlignment="1">
      <alignment horizontal="left" wrapText="1"/>
    </xf>
    <xf numFmtId="1" fontId="4" fillId="0" borderId="114" xfId="0" applyNumberFormat="1" applyFont="1" applyBorder="1" applyAlignment="1">
      <alignment horizontal="left" vertical="center" wrapText="1"/>
    </xf>
    <xf numFmtId="1" fontId="4" fillId="0" borderId="49" xfId="0" applyNumberFormat="1" applyFont="1" applyBorder="1" applyAlignment="1">
      <alignment horizontal="left" vertical="center" wrapText="1"/>
    </xf>
    <xf numFmtId="1" fontId="4" fillId="0" borderId="206" xfId="13" applyNumberFormat="1" applyFont="1" applyBorder="1" applyAlignment="1" applyProtection="1">
      <alignment horizontal="left" vertical="center" wrapText="1"/>
      <protection hidden="1"/>
    </xf>
    <xf numFmtId="1" fontId="4" fillId="0" borderId="71" xfId="13" applyNumberFormat="1" applyFont="1" applyBorder="1" applyAlignment="1" applyProtection="1">
      <alignment horizontal="left" vertical="center" wrapText="1"/>
      <protection hidden="1"/>
    </xf>
    <xf numFmtId="1" fontId="4" fillId="0" borderId="32" xfId="13" applyNumberFormat="1" applyFont="1" applyBorder="1" applyAlignment="1" applyProtection="1">
      <alignment horizontal="left" vertical="center" wrapText="1"/>
      <protection hidden="1"/>
    </xf>
    <xf numFmtId="1" fontId="4" fillId="20" borderId="202" xfId="0" applyNumberFormat="1" applyFont="1" applyFill="1" applyBorder="1" applyAlignment="1">
      <alignment horizontal="left" wrapText="1"/>
    </xf>
    <xf numFmtId="1" fontId="4" fillId="0" borderId="201" xfId="0" applyNumberFormat="1" applyFont="1" applyBorder="1" applyAlignment="1">
      <alignment horizontal="center" vertical="center" wrapText="1"/>
    </xf>
    <xf numFmtId="1" fontId="4" fillId="3" borderId="199" xfId="0" applyNumberFormat="1" applyFont="1" applyFill="1" applyBorder="1" applyAlignment="1">
      <alignment horizontal="center" vertical="center" wrapText="1"/>
    </xf>
    <xf numFmtId="1" fontId="4" fillId="3" borderId="62" xfId="0" applyNumberFormat="1" applyFont="1" applyFill="1" applyBorder="1" applyAlignment="1">
      <alignment horizontal="center" vertical="center" wrapText="1"/>
    </xf>
    <xf numFmtId="1" fontId="4" fillId="3" borderId="13" xfId="0" applyNumberFormat="1" applyFont="1" applyFill="1" applyBorder="1" applyAlignment="1">
      <alignment horizontal="center" vertical="center" wrapText="1"/>
    </xf>
    <xf numFmtId="1" fontId="4" fillId="0" borderId="202" xfId="0" applyNumberFormat="1" applyFont="1" applyBorder="1" applyAlignment="1">
      <alignment horizontal="center" vertical="center"/>
    </xf>
    <xf numFmtId="1" fontId="7" fillId="3" borderId="62"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1" fontId="7" fillId="0" borderId="202" xfId="0" applyNumberFormat="1" applyFont="1" applyBorder="1" applyAlignment="1">
      <alignment horizontal="left" vertical="center" wrapText="1"/>
    </xf>
    <xf numFmtId="1" fontId="5" fillId="0" borderId="0" xfId="2" applyNumberFormat="1" applyFont="1" applyAlignment="1" applyProtection="1">
      <alignment horizontal="left" wrapText="1"/>
      <protection hidden="1"/>
    </xf>
    <xf numFmtId="1" fontId="5" fillId="0" borderId="0" xfId="2" applyNumberFormat="1" applyFont="1" applyAlignment="1" applyProtection="1">
      <alignment horizontal="left"/>
      <protection hidden="1"/>
    </xf>
    <xf numFmtId="1" fontId="4" fillId="3" borderId="210" xfId="0" applyNumberFormat="1" applyFont="1" applyFill="1" applyBorder="1" applyAlignment="1">
      <alignment horizontal="center" vertical="center" wrapText="1"/>
    </xf>
    <xf numFmtId="1" fontId="4" fillId="3" borderId="211" xfId="0" applyNumberFormat="1" applyFont="1" applyFill="1" applyBorder="1" applyAlignment="1">
      <alignment horizontal="center" vertical="center" wrapText="1"/>
    </xf>
    <xf numFmtId="1" fontId="4" fillId="3" borderId="133" xfId="0" applyNumberFormat="1" applyFont="1" applyFill="1" applyBorder="1" applyAlignment="1">
      <alignment horizontal="center" vertical="center" wrapText="1"/>
    </xf>
    <xf numFmtId="1" fontId="4" fillId="3" borderId="206" xfId="0" applyNumberFormat="1" applyFont="1" applyFill="1" applyBorder="1" applyAlignment="1">
      <alignment horizontal="center" vertical="center" wrapText="1"/>
    </xf>
    <xf numFmtId="1" fontId="4" fillId="3" borderId="71" xfId="0" applyNumberFormat="1" applyFont="1" applyFill="1" applyBorder="1" applyAlignment="1">
      <alignment horizontal="center" vertical="center" wrapText="1"/>
    </xf>
    <xf numFmtId="1" fontId="4" fillId="3" borderId="221" xfId="0" applyNumberFormat="1" applyFont="1" applyFill="1" applyBorder="1" applyAlignment="1">
      <alignment horizontal="center" vertical="center" wrapText="1"/>
    </xf>
    <xf numFmtId="1" fontId="4" fillId="3" borderId="35" xfId="0" applyNumberFormat="1"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7" fillId="3" borderId="206" xfId="0" applyNumberFormat="1" applyFont="1" applyFill="1" applyBorder="1" applyAlignment="1">
      <alignment horizontal="center" vertical="center" wrapText="1"/>
    </xf>
    <xf numFmtId="1" fontId="7" fillId="3" borderId="71" xfId="0" applyNumberFormat="1" applyFont="1" applyFill="1" applyBorder="1" applyAlignment="1">
      <alignment horizontal="center" vertical="center" wrapText="1"/>
    </xf>
    <xf numFmtId="1" fontId="7" fillId="3" borderId="32" xfId="0" applyNumberFormat="1" applyFont="1" applyFill="1" applyBorder="1" applyAlignment="1">
      <alignment horizontal="center" vertical="center" wrapText="1"/>
    </xf>
    <xf numFmtId="1" fontId="2" fillId="0" borderId="205" xfId="0" applyNumberFormat="1" applyFont="1" applyBorder="1" applyAlignment="1">
      <alignment horizontal="center" vertical="center" wrapText="1"/>
    </xf>
    <xf numFmtId="1" fontId="2" fillId="0" borderId="199"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2" fillId="0" borderId="6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4" fillId="3" borderId="198" xfId="0" applyNumberFormat="1" applyFont="1" applyFill="1" applyBorder="1" applyAlignment="1">
      <alignment horizontal="center" vertical="center"/>
    </xf>
    <xf numFmtId="1" fontId="4" fillId="3" borderId="205" xfId="0" applyNumberFormat="1" applyFont="1" applyFill="1" applyBorder="1" applyAlignment="1">
      <alignment horizontal="center" vertical="center"/>
    </xf>
    <xf numFmtId="1" fontId="4" fillId="3" borderId="199" xfId="0" applyNumberFormat="1" applyFont="1" applyFill="1" applyBorder="1" applyAlignment="1">
      <alignment horizontal="center" vertical="center"/>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13" xfId="0" applyNumberFormat="1" applyFont="1" applyFill="1" applyBorder="1" applyAlignment="1">
      <alignment horizontal="center" vertical="center"/>
    </xf>
    <xf numFmtId="1" fontId="4" fillId="0" borderId="201" xfId="0" quotePrefix="1" applyNumberFormat="1" applyFont="1" applyBorder="1" applyAlignment="1">
      <alignment horizontal="center" vertical="center" wrapText="1"/>
    </xf>
    <xf numFmtId="1" fontId="4" fillId="0" borderId="197" xfId="0" applyNumberFormat="1" applyFont="1" applyBorder="1" applyAlignment="1">
      <alignment horizontal="center" vertical="center" wrapText="1"/>
    </xf>
    <xf numFmtId="1" fontId="4" fillId="0" borderId="204" xfId="0" applyNumberFormat="1" applyFont="1" applyBorder="1" applyAlignment="1">
      <alignment horizontal="center" vertical="center" wrapText="1"/>
    </xf>
    <xf numFmtId="0" fontId="4" fillId="0" borderId="114" xfId="0" applyFont="1" applyBorder="1" applyAlignment="1">
      <alignment vertical="center" wrapText="1"/>
    </xf>
    <xf numFmtId="0" fontId="4" fillId="0" borderId="49" xfId="0" applyFont="1" applyBorder="1" applyAlignment="1">
      <alignment vertical="center" wrapText="1"/>
    </xf>
    <xf numFmtId="0" fontId="4" fillId="0" borderId="126" xfId="0" applyFont="1" applyBorder="1" applyAlignment="1">
      <alignment vertical="center" wrapText="1"/>
    </xf>
    <xf numFmtId="0" fontId="4" fillId="0" borderId="62" xfId="0" applyFont="1" applyBorder="1" applyAlignment="1">
      <alignment vertical="center" wrapText="1"/>
    </xf>
    <xf numFmtId="0" fontId="4" fillId="0" borderId="206" xfId="0" applyFont="1" applyBorder="1" applyAlignment="1">
      <alignment horizontal="left" vertical="center" wrapText="1"/>
    </xf>
    <xf numFmtId="0" fontId="4" fillId="0" borderId="71" xfId="0" applyFont="1" applyBorder="1" applyAlignment="1">
      <alignment horizontal="left" vertical="center" wrapText="1"/>
    </xf>
    <xf numFmtId="0" fontId="4" fillId="0" borderId="32"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13" xfId="0" applyFont="1" applyBorder="1" applyAlignment="1">
      <alignment vertical="center"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25" xfId="0" applyFont="1" applyBorder="1" applyAlignment="1">
      <alignment horizontal="center" vertical="center" wrapText="1"/>
    </xf>
    <xf numFmtId="0" fontId="4" fillId="0" borderId="65" xfId="0" applyFont="1" applyBorder="1" applyAlignment="1">
      <alignment horizontal="center" vertical="center" wrapText="1"/>
    </xf>
    <xf numFmtId="1" fontId="2" fillId="0" borderId="198" xfId="2" applyNumberFormat="1" applyFont="1" applyBorder="1" applyAlignment="1" applyProtection="1">
      <alignment horizontal="left" vertical="center" wrapText="1"/>
      <protection hidden="1"/>
    </xf>
    <xf numFmtId="1" fontId="2" fillId="0" borderId="199" xfId="2" applyNumberFormat="1" applyFont="1" applyBorder="1" applyAlignment="1" applyProtection="1">
      <alignment horizontal="left" vertical="center" wrapText="1"/>
      <protection hidden="1"/>
    </xf>
    <xf numFmtId="1" fontId="2" fillId="3" borderId="202" xfId="2" applyNumberFormat="1" applyFont="1" applyFill="1" applyBorder="1" applyAlignment="1" applyProtection="1">
      <alignment horizontal="left" vertical="center" wrapText="1"/>
      <protection hidden="1"/>
    </xf>
    <xf numFmtId="1" fontId="4" fillId="0" borderId="205" xfId="0" applyNumberFormat="1" applyFont="1" applyBorder="1" applyAlignment="1">
      <alignment horizontal="left" wrapText="1"/>
    </xf>
    <xf numFmtId="0" fontId="7" fillId="3" borderId="198" xfId="0" applyFont="1" applyFill="1" applyBorder="1" applyAlignment="1">
      <alignment horizontal="center" vertical="center" wrapText="1"/>
    </xf>
    <xf numFmtId="0" fontId="7" fillId="3" borderId="19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1" fontId="4" fillId="3" borderId="217" xfId="0" applyNumberFormat="1" applyFont="1" applyFill="1" applyBorder="1" applyAlignment="1">
      <alignment horizontal="center" vertical="center" wrapText="1"/>
    </xf>
    <xf numFmtId="1" fontId="4" fillId="3" borderId="60" xfId="0" applyNumberFormat="1" applyFont="1" applyFill="1" applyBorder="1" applyAlignment="1">
      <alignment horizontal="center" vertical="center" wrapText="1"/>
    </xf>
    <xf numFmtId="1" fontId="4" fillId="3" borderId="19" xfId="0" applyNumberFormat="1" applyFont="1" applyFill="1" applyBorder="1" applyAlignment="1">
      <alignment horizontal="center" vertical="center" wrapText="1"/>
    </xf>
    <xf numFmtId="1" fontId="4" fillId="3" borderId="205"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7" fillId="3" borderId="210" xfId="0" applyNumberFormat="1" applyFont="1" applyFill="1" applyBorder="1" applyAlignment="1">
      <alignment horizontal="center" vertical="center" wrapText="1"/>
    </xf>
    <xf numFmtId="1" fontId="7" fillId="3" borderId="133" xfId="0" applyNumberFormat="1" applyFont="1" applyFill="1" applyBorder="1" applyAlignment="1">
      <alignment horizontal="center" vertical="center" wrapText="1"/>
    </xf>
    <xf numFmtId="1" fontId="4" fillId="0" borderId="198" xfId="0" applyNumberFormat="1" applyFont="1" applyBorder="1" applyAlignment="1">
      <alignment horizontal="center" vertical="center"/>
    </xf>
    <xf numFmtId="1" fontId="4" fillId="0" borderId="199" xfId="0" applyNumberFormat="1" applyFont="1" applyBorder="1" applyAlignment="1">
      <alignment horizontal="center" vertical="center"/>
    </xf>
    <xf numFmtId="1" fontId="4" fillId="0" borderId="126" xfId="0" applyNumberFormat="1" applyFont="1" applyBorder="1" applyAlignment="1">
      <alignment horizontal="center" vertical="center"/>
    </xf>
    <xf numFmtId="1" fontId="4" fillId="0" borderId="62" xfId="0" applyNumberFormat="1" applyFont="1" applyBorder="1" applyAlignment="1">
      <alignment horizontal="center" vertical="center"/>
    </xf>
    <xf numFmtId="1" fontId="4" fillId="0" borderId="12" xfId="0" applyNumberFormat="1" applyFont="1" applyBorder="1" applyAlignment="1">
      <alignment horizontal="center" vertical="center"/>
    </xf>
    <xf numFmtId="1" fontId="4" fillId="0" borderId="13" xfId="0" applyNumberFormat="1" applyFont="1" applyBorder="1" applyAlignment="1">
      <alignment horizontal="center" vertical="center"/>
    </xf>
    <xf numFmtId="1" fontId="3" fillId="0" borderId="0" xfId="2" applyNumberFormat="1" applyFont="1" applyAlignment="1" applyProtection="1">
      <alignment horizontal="center" vertical="center"/>
      <protection hidden="1"/>
    </xf>
    <xf numFmtId="1" fontId="4" fillId="0" borderId="3" xfId="0" applyNumberFormat="1" applyFont="1" applyBorder="1" applyAlignment="1">
      <alignment horizontal="center" vertical="center"/>
    </xf>
    <xf numFmtId="0" fontId="7" fillId="3" borderId="223" xfId="0" applyFont="1" applyFill="1" applyBorder="1" applyAlignment="1">
      <alignment horizontal="center" vertical="center" wrapText="1"/>
    </xf>
    <xf numFmtId="0" fontId="7" fillId="3" borderId="139"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7" fillId="3" borderId="117" xfId="0" applyFont="1" applyFill="1" applyBorder="1" applyAlignment="1">
      <alignment vertical="center" wrapText="1"/>
    </xf>
    <xf numFmtId="0" fontId="7" fillId="3" borderId="49" xfId="0" applyFont="1" applyFill="1" applyBorder="1" applyAlignment="1">
      <alignment vertical="center" wrapText="1"/>
    </xf>
    <xf numFmtId="0" fontId="7" fillId="3" borderId="3" xfId="0" applyFont="1" applyFill="1" applyBorder="1" applyAlignment="1">
      <alignment vertical="center" wrapText="1"/>
    </xf>
    <xf numFmtId="0" fontId="7" fillId="3" borderId="13" xfId="0" applyFont="1" applyFill="1" applyBorder="1" applyAlignment="1">
      <alignment vertical="center" wrapText="1"/>
    </xf>
    <xf numFmtId="0" fontId="7" fillId="0" borderId="199"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6" xfId="0" applyFont="1" applyBorder="1" applyAlignment="1">
      <alignment vertical="center" wrapText="1"/>
    </xf>
    <xf numFmtId="0" fontId="7" fillId="0" borderId="24" xfId="0" applyFont="1" applyBorder="1" applyAlignment="1">
      <alignment vertical="center" wrapText="1"/>
    </xf>
    <xf numFmtId="0" fontId="7" fillId="0" borderId="45" xfId="0" applyFont="1" applyBorder="1" applyAlignment="1">
      <alignment vertical="center" wrapText="1"/>
    </xf>
    <xf numFmtId="0" fontId="7" fillId="0" borderId="50" xfId="0" applyFont="1" applyBorder="1" applyAlignment="1">
      <alignment vertical="center" wrapText="1"/>
    </xf>
    <xf numFmtId="0" fontId="7" fillId="0" borderId="33" xfId="0" applyFont="1" applyBorder="1" applyAlignment="1">
      <alignment vertical="center" wrapText="1"/>
    </xf>
    <xf numFmtId="0" fontId="7" fillId="0" borderId="22" xfId="0" applyFont="1" applyBorder="1" applyAlignment="1">
      <alignment vertical="center" wrapText="1"/>
    </xf>
    <xf numFmtId="0" fontId="7" fillId="0" borderId="3" xfId="0" applyFont="1" applyBorder="1" applyAlignment="1">
      <alignment horizontal="center" vertical="center" wrapText="1"/>
    </xf>
    <xf numFmtId="1" fontId="3" fillId="0" borderId="0" xfId="14" applyNumberFormat="1" applyFont="1" applyAlignment="1" applyProtection="1">
      <alignment horizontal="center" vertical="center" wrapText="1"/>
      <protection hidden="1"/>
    </xf>
    <xf numFmtId="1" fontId="5" fillId="0" borderId="3" xfId="0" applyNumberFormat="1" applyFont="1" applyBorder="1" applyAlignment="1">
      <alignment horizontal="left"/>
    </xf>
    <xf numFmtId="1" fontId="5" fillId="3" borderId="197" xfId="0" applyNumberFormat="1" applyFont="1" applyFill="1" applyBorder="1" applyAlignment="1">
      <alignment horizontal="left"/>
    </xf>
    <xf numFmtId="0" fontId="28" fillId="0" borderId="222" xfId="0" applyFont="1" applyBorder="1" applyAlignment="1">
      <alignment horizontal="center" vertical="center"/>
    </xf>
    <xf numFmtId="0" fontId="28" fillId="0" borderId="197" xfId="0" applyFont="1" applyBorder="1" applyAlignment="1">
      <alignment horizontal="center" vertical="center"/>
    </xf>
    <xf numFmtId="0" fontId="28" fillId="0" borderId="202" xfId="0" applyFont="1" applyBorder="1" applyAlignment="1">
      <alignment horizontal="center" vertical="center"/>
    </xf>
    <xf numFmtId="0" fontId="4" fillId="0" borderId="206" xfId="0" applyFont="1" applyBorder="1" applyAlignment="1">
      <alignment horizontal="center" vertical="center"/>
    </xf>
    <xf numFmtId="1" fontId="4" fillId="3" borderId="201" xfId="0" applyNumberFormat="1" applyFont="1" applyFill="1" applyBorder="1" applyAlignment="1">
      <alignment horizontal="center" vertical="center" wrapText="1"/>
    </xf>
    <xf numFmtId="1" fontId="4" fillId="3" borderId="197" xfId="0" applyNumberFormat="1" applyFont="1" applyFill="1" applyBorder="1" applyAlignment="1">
      <alignment horizontal="center" vertical="center" wrapText="1"/>
    </xf>
    <xf numFmtId="1" fontId="4" fillId="3" borderId="202" xfId="0" applyNumberFormat="1" applyFont="1" applyFill="1" applyBorder="1" applyAlignment="1">
      <alignment horizontal="center" vertical="center" wrapText="1"/>
    </xf>
    <xf numFmtId="1" fontId="4" fillId="3" borderId="114" xfId="0" applyNumberFormat="1" applyFont="1" applyFill="1" applyBorder="1" applyAlignment="1">
      <alignment horizontal="left" wrapText="1"/>
    </xf>
    <xf numFmtId="1" fontId="4" fillId="3" borderId="49" xfId="0" applyNumberFormat="1" applyFont="1" applyFill="1" applyBorder="1" applyAlignment="1">
      <alignment horizontal="left" wrapText="1"/>
    </xf>
    <xf numFmtId="1" fontId="5" fillId="3" borderId="197" xfId="2" applyNumberFormat="1" applyFont="1" applyFill="1" applyBorder="1" applyAlignment="1">
      <alignment horizontal="left" vertical="center"/>
    </xf>
    <xf numFmtId="1" fontId="2" fillId="3" borderId="206"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1" fontId="4" fillId="3" borderId="204" xfId="0" applyNumberFormat="1" applyFont="1" applyFill="1" applyBorder="1" applyAlignment="1">
      <alignment horizontal="center" vertical="center" wrapText="1"/>
    </xf>
    <xf numFmtId="1" fontId="4" fillId="3" borderId="129" xfId="0" applyNumberFormat="1" applyFont="1" applyFill="1" applyBorder="1" applyAlignment="1">
      <alignment horizontal="center" vertical="center" wrapText="1"/>
    </xf>
    <xf numFmtId="1" fontId="4" fillId="3" borderId="119" xfId="0" applyNumberFormat="1" applyFont="1" applyFill="1" applyBorder="1" applyAlignment="1">
      <alignment horizontal="left" wrapText="1"/>
    </xf>
    <xf numFmtId="1" fontId="4" fillId="3" borderId="69" xfId="0" applyNumberFormat="1" applyFont="1" applyFill="1" applyBorder="1" applyAlignment="1">
      <alignment horizontal="left" wrapText="1"/>
    </xf>
    <xf numFmtId="1" fontId="2" fillId="3" borderId="198" xfId="0" applyNumberFormat="1" applyFont="1" applyFill="1" applyBorder="1" applyAlignment="1">
      <alignment horizontal="center" vertical="center" wrapText="1"/>
    </xf>
    <xf numFmtId="1" fontId="2" fillId="3" borderId="199" xfId="0" applyNumberFormat="1" applyFont="1" applyFill="1" applyBorder="1" applyAlignment="1">
      <alignment horizontal="center" vertical="center" wrapText="1"/>
    </xf>
    <xf numFmtId="1" fontId="2" fillId="3" borderId="12" xfId="0" applyNumberFormat="1"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1" fontId="4" fillId="0" borderId="201" xfId="2" applyNumberFormat="1" applyFont="1" applyBorder="1" applyAlignment="1" applyProtection="1">
      <alignment horizontal="center" vertical="center" wrapText="1"/>
      <protection hidden="1"/>
    </xf>
    <xf numFmtId="1" fontId="4" fillId="0" borderId="197" xfId="2" applyNumberFormat="1" applyFont="1" applyBorder="1" applyAlignment="1" applyProtection="1">
      <alignment horizontal="center" vertical="center" wrapText="1"/>
      <protection hidden="1"/>
    </xf>
    <xf numFmtId="1" fontId="4" fillId="0" borderId="202" xfId="2" applyNumberFormat="1" applyFont="1" applyBorder="1" applyAlignment="1" applyProtection="1">
      <alignment horizontal="center" vertical="center" wrapText="1"/>
      <protection hidden="1"/>
    </xf>
    <xf numFmtId="1" fontId="4" fillId="0" borderId="204" xfId="2" applyNumberFormat="1" applyFont="1" applyBorder="1" applyAlignment="1" applyProtection="1">
      <alignment horizontal="center" vertical="center" wrapText="1"/>
      <protection hidden="1"/>
    </xf>
    <xf numFmtId="1" fontId="4" fillId="0" borderId="129" xfId="2" applyNumberFormat="1" applyFont="1" applyBorder="1" applyAlignment="1" applyProtection="1">
      <alignment horizontal="center" vertical="center" wrapText="1"/>
      <protection hidden="1"/>
    </xf>
    <xf numFmtId="1" fontId="4" fillId="3" borderId="113" xfId="0" applyNumberFormat="1" applyFont="1" applyFill="1" applyBorder="1" applyAlignment="1">
      <alignment horizontal="left" wrapText="1"/>
    </xf>
    <xf numFmtId="1" fontId="4" fillId="3" borderId="30" xfId="0" applyNumberFormat="1" applyFont="1" applyFill="1" applyBorder="1" applyAlignment="1">
      <alignment horizontal="left" wrapText="1"/>
    </xf>
    <xf numFmtId="1" fontId="2" fillId="3" borderId="200" xfId="0" applyNumberFormat="1" applyFont="1" applyFill="1" applyBorder="1" applyAlignment="1">
      <alignment horizontal="center" vertical="center" wrapText="1"/>
    </xf>
    <xf numFmtId="1" fontId="4" fillId="3" borderId="198" xfId="0" applyNumberFormat="1" applyFont="1" applyFill="1" applyBorder="1" applyAlignment="1">
      <alignment horizontal="center" vertical="center" wrapText="1"/>
    </xf>
    <xf numFmtId="1" fontId="4" fillId="0" borderId="206" xfId="1" applyNumberFormat="1" applyFont="1" applyBorder="1" applyAlignment="1">
      <alignment horizontal="center" vertical="center" wrapText="1"/>
    </xf>
    <xf numFmtId="1" fontId="2" fillId="3" borderId="126" xfId="0" applyNumberFormat="1" applyFont="1" applyFill="1" applyBorder="1" applyAlignment="1">
      <alignment horizontal="center" vertical="center" wrapText="1"/>
    </xf>
    <xf numFmtId="1" fontId="2" fillId="3" borderId="62" xfId="0" applyNumberFormat="1" applyFont="1" applyFill="1" applyBorder="1" applyAlignment="1">
      <alignment horizontal="center" vertical="center" wrapText="1"/>
    </xf>
    <xf numFmtId="1" fontId="4" fillId="0" borderId="0" xfId="2" applyNumberFormat="1" applyFont="1" applyAlignment="1" applyProtection="1">
      <alignment horizontal="center" vertical="center" wrapText="1"/>
      <protection hidden="1"/>
    </xf>
    <xf numFmtId="1" fontId="4" fillId="3" borderId="126" xfId="0" applyNumberFormat="1" applyFont="1" applyFill="1" applyBorder="1" applyAlignment="1">
      <alignment horizontal="center" vertical="center" wrapText="1"/>
    </xf>
    <xf numFmtId="1" fontId="4" fillId="3" borderId="0" xfId="0" applyNumberFormat="1" applyFont="1" applyFill="1" applyAlignment="1">
      <alignment horizontal="center" vertical="center" wrapText="1"/>
    </xf>
    <xf numFmtId="1" fontId="4" fillId="3" borderId="12" xfId="0" applyNumberFormat="1" applyFont="1" applyFill="1" applyBorder="1" applyAlignment="1">
      <alignment horizontal="center" vertical="center" wrapText="1"/>
    </xf>
    <xf numFmtId="1" fontId="4" fillId="3" borderId="18" xfId="0" applyNumberFormat="1" applyFont="1" applyFill="1" applyBorder="1" applyAlignment="1">
      <alignment horizontal="center" vertical="center" wrapText="1"/>
    </xf>
    <xf numFmtId="1" fontId="4" fillId="0" borderId="201" xfId="2" applyNumberFormat="1" applyFont="1" applyBorder="1" applyAlignment="1" applyProtection="1">
      <alignment horizontal="left" vertical="center" wrapText="1"/>
      <protection hidden="1"/>
    </xf>
    <xf numFmtId="1" fontId="4" fillId="0" borderId="202" xfId="2" applyNumberFormat="1" applyFont="1" applyBorder="1" applyAlignment="1" applyProtection="1">
      <alignment horizontal="left" vertical="center" wrapText="1"/>
      <protection hidden="1"/>
    </xf>
    <xf numFmtId="1" fontId="2" fillId="0" borderId="198" xfId="2" applyNumberFormat="1" applyFont="1" applyBorder="1" applyAlignment="1" applyProtection="1">
      <alignment horizontal="center" vertical="center" wrapText="1"/>
      <protection hidden="1"/>
    </xf>
    <xf numFmtId="1" fontId="2" fillId="0" borderId="199" xfId="2" applyNumberFormat="1" applyFont="1" applyBorder="1" applyAlignment="1" applyProtection="1">
      <alignment horizontal="center" vertical="center" wrapText="1"/>
      <protection hidden="1"/>
    </xf>
    <xf numFmtId="1" fontId="2" fillId="0" borderId="12" xfId="2" applyNumberFormat="1" applyFont="1" applyBorder="1" applyAlignment="1" applyProtection="1">
      <alignment horizontal="center" vertical="center" wrapText="1"/>
      <protection hidden="1"/>
    </xf>
    <xf numFmtId="1" fontId="2" fillId="0" borderId="13" xfId="2" applyNumberFormat="1" applyFont="1" applyBorder="1" applyAlignment="1" applyProtection="1">
      <alignment horizontal="center" vertical="center" wrapText="1"/>
      <protection hidden="1"/>
    </xf>
    <xf numFmtId="1" fontId="3" fillId="3" borderId="0" xfId="0" applyNumberFormat="1" applyFont="1" applyFill="1" applyAlignment="1">
      <alignment horizontal="center" vertical="center"/>
    </xf>
    <xf numFmtId="1" fontId="5" fillId="3" borderId="3" xfId="2" applyNumberFormat="1" applyFont="1" applyFill="1" applyBorder="1" applyAlignment="1">
      <alignment horizontal="left" vertical="center"/>
    </xf>
    <xf numFmtId="1" fontId="4" fillId="0" borderId="198" xfId="0" applyNumberFormat="1" applyFont="1" applyBorder="1" applyAlignment="1">
      <alignment horizontal="center" vertical="center" wrapText="1"/>
    </xf>
    <xf numFmtId="1" fontId="2" fillId="0" borderId="198" xfId="0" applyNumberFormat="1" applyFont="1" applyBorder="1" applyAlignment="1">
      <alignment horizontal="center" vertical="center"/>
    </xf>
    <xf numFmtId="1" fontId="2" fillId="0" borderId="199"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1" fontId="4" fillId="0" borderId="200" xfId="2" applyNumberFormat="1" applyFont="1" applyBorder="1" applyAlignment="1" applyProtection="1">
      <alignment horizontal="center" vertical="center" wrapText="1"/>
      <protection hidden="1"/>
    </xf>
    <xf numFmtId="1" fontId="4" fillId="0" borderId="131" xfId="2" applyNumberFormat="1" applyFont="1" applyBorder="1" applyAlignment="1" applyProtection="1">
      <alignment horizontal="center" vertical="center" wrapText="1"/>
      <protection hidden="1"/>
    </xf>
    <xf numFmtId="1" fontId="4" fillId="2" borderId="201" xfId="6" applyNumberFormat="1" applyFont="1" applyFill="1" applyBorder="1" applyAlignment="1">
      <alignment horizontal="center" vertical="center" wrapText="1"/>
    </xf>
    <xf numFmtId="1" fontId="4" fillId="2" borderId="197" xfId="6" applyNumberFormat="1" applyFont="1" applyFill="1" applyBorder="1" applyAlignment="1">
      <alignment horizontal="center" vertical="center" wrapText="1"/>
    </xf>
    <xf numFmtId="1" fontId="4" fillId="0" borderId="208"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1" fontId="4" fillId="0" borderId="33" xfId="0" applyNumberFormat="1" applyFont="1" applyBorder="1" applyAlignment="1">
      <alignment horizontal="center" vertical="center" wrapText="1"/>
    </xf>
    <xf numFmtId="1" fontId="4" fillId="0" borderId="62" xfId="0" applyNumberFormat="1" applyFont="1" applyBorder="1" applyAlignment="1">
      <alignment horizontal="center" vertical="center" wrapText="1"/>
    </xf>
    <xf numFmtId="1" fontId="5" fillId="2" borderId="197" xfId="3" applyNumberFormat="1" applyFont="1" applyFill="1" applyBorder="1" applyAlignment="1" applyProtection="1">
      <alignment horizontal="left"/>
      <protection hidden="1"/>
    </xf>
    <xf numFmtId="1" fontId="5" fillId="2" borderId="226" xfId="3" applyNumberFormat="1" applyFont="1" applyFill="1" applyBorder="1" applyAlignment="1" applyProtection="1">
      <alignment horizontal="left"/>
      <protection hidden="1"/>
    </xf>
    <xf numFmtId="1" fontId="2" fillId="2" borderId="200" xfId="6" applyNumberFormat="1" applyFont="1" applyFill="1" applyBorder="1" applyAlignment="1">
      <alignment horizontal="center" vertical="center" wrapText="1"/>
    </xf>
    <xf numFmtId="1" fontId="4" fillId="2" borderId="198" xfId="6" applyNumberFormat="1" applyFont="1" applyFill="1" applyBorder="1" applyAlignment="1">
      <alignment horizontal="center" vertical="center" wrapText="1"/>
    </xf>
    <xf numFmtId="1" fontId="4" fillId="2" borderId="205" xfId="6" applyNumberFormat="1" applyFont="1" applyFill="1" applyBorder="1" applyAlignment="1">
      <alignment horizontal="center" vertical="center" wrapText="1"/>
    </xf>
    <xf numFmtId="1" fontId="4" fillId="2" borderId="199" xfId="6" applyNumberFormat="1" applyFont="1" applyFill="1" applyBorder="1" applyAlignment="1">
      <alignment horizontal="center" vertical="center" wrapText="1"/>
    </xf>
    <xf numFmtId="1" fontId="4" fillId="2" borderId="12" xfId="6" applyNumberFormat="1" applyFont="1" applyFill="1" applyBorder="1" applyAlignment="1">
      <alignment horizontal="center" vertical="center" wrapText="1"/>
    </xf>
    <xf numFmtId="1" fontId="4" fillId="2" borderId="3" xfId="6" applyNumberFormat="1" applyFont="1" applyFill="1" applyBorder="1" applyAlignment="1">
      <alignment horizontal="center" vertical="center" wrapText="1"/>
    </xf>
    <xf numFmtId="1" fontId="4" fillId="2" borderId="13" xfId="6" applyNumberFormat="1" applyFont="1" applyFill="1" applyBorder="1" applyAlignment="1">
      <alignment horizontal="center" vertical="center" wrapText="1"/>
    </xf>
    <xf numFmtId="1" fontId="4" fillId="0" borderId="201" xfId="0" quotePrefix="1" applyNumberFormat="1" applyFont="1" applyBorder="1" applyAlignment="1">
      <alignment horizontal="center" vertical="center"/>
    </xf>
    <xf numFmtId="1" fontId="4" fillId="0" borderId="197" xfId="0" applyNumberFormat="1" applyFont="1" applyBorder="1" applyAlignment="1">
      <alignment horizontal="center" vertical="center"/>
    </xf>
    <xf numFmtId="1" fontId="4" fillId="0" borderId="204" xfId="0" applyNumberFormat="1" applyFont="1" applyBorder="1" applyAlignment="1">
      <alignment horizontal="center" vertical="center"/>
    </xf>
    <xf numFmtId="1" fontId="4" fillId="2" borderId="202" xfId="6" applyNumberFormat="1" applyFont="1" applyFill="1" applyBorder="1" applyAlignment="1">
      <alignment horizontal="center" vertical="center" wrapText="1"/>
    </xf>
    <xf numFmtId="1" fontId="4" fillId="2" borderId="206" xfId="17" applyNumberFormat="1" applyFont="1" applyFill="1" applyBorder="1" applyAlignment="1">
      <alignment horizontal="left" vertical="center"/>
    </xf>
    <xf numFmtId="1" fontId="4" fillId="2" borderId="32" xfId="17" applyNumberFormat="1" applyFont="1" applyFill="1" applyBorder="1" applyAlignment="1">
      <alignment horizontal="left" vertical="center"/>
    </xf>
    <xf numFmtId="1" fontId="4" fillId="2" borderId="71" xfId="17" applyNumberFormat="1" applyFont="1" applyFill="1" applyBorder="1" applyAlignment="1">
      <alignment horizontal="left" vertical="center"/>
    </xf>
    <xf numFmtId="1" fontId="4" fillId="0" borderId="225" xfId="0" applyNumberFormat="1" applyFont="1" applyBorder="1" applyAlignment="1">
      <alignment horizontal="center" vertical="center" wrapText="1"/>
    </xf>
    <xf numFmtId="1" fontId="4" fillId="0" borderId="72" xfId="0" applyNumberFormat="1" applyFont="1" applyBorder="1" applyAlignment="1">
      <alignment horizontal="center" vertical="center" wrapText="1"/>
    </xf>
    <xf numFmtId="1" fontId="4" fillId="0" borderId="209" xfId="0" applyNumberFormat="1" applyFont="1" applyBorder="1" applyAlignment="1">
      <alignment horizontal="center" vertical="center" wrapText="1"/>
    </xf>
    <xf numFmtId="1" fontId="4" fillId="0" borderId="63" xfId="0" applyNumberFormat="1" applyFont="1" applyBorder="1" applyAlignment="1">
      <alignment horizontal="center" vertical="center" wrapText="1"/>
    </xf>
    <xf numFmtId="1" fontId="4" fillId="0" borderId="126" xfId="0" applyNumberFormat="1" applyFont="1" applyBorder="1" applyAlignment="1">
      <alignment horizontal="center" vertical="center" wrapText="1"/>
    </xf>
    <xf numFmtId="1" fontId="3" fillId="2" borderId="0" xfId="3" applyNumberFormat="1" applyFont="1" applyFill="1" applyAlignment="1" applyProtection="1">
      <alignment horizontal="center" vertical="center" wrapText="1"/>
      <protection hidden="1"/>
    </xf>
    <xf numFmtId="1" fontId="5" fillId="2" borderId="3" xfId="3" applyNumberFormat="1" applyFont="1" applyFill="1" applyBorder="1" applyAlignment="1" applyProtection="1">
      <alignment horizontal="left"/>
      <protection hidden="1"/>
    </xf>
    <xf numFmtId="1" fontId="2" fillId="2" borderId="205" xfId="6" applyNumberFormat="1" applyFont="1" applyFill="1" applyBorder="1" applyAlignment="1">
      <alignment horizontal="center" vertical="center" wrapText="1"/>
    </xf>
    <xf numFmtId="1" fontId="2" fillId="2" borderId="199" xfId="6" applyNumberFormat="1" applyFont="1" applyFill="1" applyBorder="1" applyAlignment="1">
      <alignment horizontal="center" vertical="center" wrapText="1"/>
    </xf>
    <xf numFmtId="1" fontId="2" fillId="2" borderId="0" xfId="6" applyNumberFormat="1" applyFont="1" applyFill="1" applyAlignment="1">
      <alignment horizontal="center" vertical="center" wrapText="1"/>
    </xf>
    <xf numFmtId="1" fontId="2" fillId="2" borderId="62" xfId="6" applyNumberFormat="1" applyFont="1" applyFill="1" applyBorder="1" applyAlignment="1">
      <alignment horizontal="center" vertical="center" wrapText="1"/>
    </xf>
    <xf numFmtId="1" fontId="2" fillId="2" borderId="3" xfId="6" applyNumberFormat="1" applyFont="1" applyFill="1" applyBorder="1" applyAlignment="1">
      <alignment horizontal="center" vertical="center" wrapText="1"/>
    </xf>
    <xf numFmtId="1" fontId="2" fillId="2" borderId="13" xfId="6" applyNumberFormat="1" applyFont="1" applyFill="1" applyBorder="1" applyAlignment="1">
      <alignment horizontal="center" vertical="center" wrapText="1"/>
    </xf>
    <xf numFmtId="1" fontId="4" fillId="0" borderId="202" xfId="0" quotePrefix="1" applyNumberFormat="1" applyFont="1" applyBorder="1" applyAlignment="1">
      <alignment horizontal="center" vertical="center" wrapText="1"/>
    </xf>
    <xf numFmtId="1" fontId="5" fillId="0" borderId="205" xfId="18" applyNumberFormat="1" applyFont="1" applyBorder="1" applyAlignment="1" applyProtection="1">
      <alignment horizontal="left"/>
    </xf>
    <xf numFmtId="1" fontId="5" fillId="0" borderId="0" xfId="18" applyNumberFormat="1" applyFont="1" applyAlignment="1" applyProtection="1">
      <alignment horizontal="left"/>
    </xf>
    <xf numFmtId="1" fontId="5" fillId="0" borderId="0" xfId="18" applyNumberFormat="1" applyFont="1" applyBorder="1" applyAlignment="1" applyProtection="1">
      <alignment horizontal="left"/>
    </xf>
    <xf numFmtId="1" fontId="4" fillId="0" borderId="0" xfId="6" applyNumberFormat="1" applyFont="1" applyAlignment="1">
      <alignment horizontal="center" vertical="center" wrapText="1"/>
    </xf>
    <xf numFmtId="1" fontId="3" fillId="0" borderId="0" xfId="18" applyNumberFormat="1" applyFont="1" applyBorder="1" applyAlignment="1" applyProtection="1">
      <alignment horizontal="center" vertical="center" wrapText="1"/>
      <protection hidden="1"/>
    </xf>
    <xf numFmtId="1" fontId="5" fillId="0" borderId="0" xfId="18" applyNumberFormat="1" applyFont="1" applyAlignment="1" applyProtection="1">
      <alignment horizontal="left" vertical="center"/>
    </xf>
    <xf numFmtId="1" fontId="5" fillId="0" borderId="3" xfId="18" applyNumberFormat="1" applyFont="1" applyBorder="1" applyAlignment="1" applyProtection="1">
      <alignment horizontal="left" vertical="center"/>
    </xf>
    <xf numFmtId="1" fontId="4" fillId="0" borderId="184" xfId="18" applyNumberFormat="1" applyFont="1" applyBorder="1" applyAlignment="1" applyProtection="1">
      <alignment horizontal="left"/>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4" fillId="0" borderId="204" xfId="0" applyFont="1" applyBorder="1" applyAlignment="1">
      <alignment horizontal="center" vertical="center"/>
    </xf>
    <xf numFmtId="0" fontId="4" fillId="21" borderId="206"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21" borderId="32" xfId="0" applyFont="1" applyFill="1" applyBorder="1" applyAlignment="1">
      <alignment horizontal="center" vertical="center" wrapText="1"/>
    </xf>
    <xf numFmtId="0" fontId="2" fillId="0" borderId="200" xfId="0" applyFont="1" applyBorder="1" applyAlignment="1">
      <alignment horizontal="center" vertical="center" wrapText="1"/>
    </xf>
    <xf numFmtId="0" fontId="4" fillId="0" borderId="198" xfId="0" applyFont="1" applyBorder="1" applyAlignment="1">
      <alignment horizontal="center" vertical="center"/>
    </xf>
    <xf numFmtId="0" fontId="4" fillId="0" borderId="205" xfId="0" applyFont="1" applyBorder="1" applyAlignment="1">
      <alignment horizontal="center" vertical="center"/>
    </xf>
    <xf numFmtId="0" fontId="4" fillId="0" borderId="199"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201" xfId="0" quotePrefix="1" applyFont="1" applyBorder="1" applyAlignment="1">
      <alignment horizontal="center"/>
    </xf>
    <xf numFmtId="0" fontId="4" fillId="0" borderId="197" xfId="0" applyFont="1" applyBorder="1" applyAlignment="1">
      <alignment horizontal="center"/>
    </xf>
    <xf numFmtId="0" fontId="4" fillId="0" borderId="204" xfId="0" applyFont="1" applyBorder="1" applyAlignment="1">
      <alignment horizontal="center"/>
    </xf>
    <xf numFmtId="0" fontId="4" fillId="21" borderId="199" xfId="0" applyFont="1" applyFill="1" applyBorder="1" applyAlignment="1">
      <alignment horizontal="center" vertical="center"/>
    </xf>
    <xf numFmtId="0" fontId="4" fillId="21" borderId="62" xfId="0" applyFont="1" applyFill="1" applyBorder="1" applyAlignment="1">
      <alignment horizontal="center" vertical="center"/>
    </xf>
    <xf numFmtId="0" fontId="4" fillId="21" borderId="13" xfId="0" applyFont="1" applyFill="1" applyBorder="1" applyAlignment="1">
      <alignment horizontal="center" vertical="center"/>
    </xf>
    <xf numFmtId="0" fontId="4" fillId="3" borderId="206"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21" borderId="217" xfId="0" applyFont="1" applyFill="1" applyBorder="1" applyAlignment="1">
      <alignment horizontal="center" vertical="center"/>
    </xf>
    <xf numFmtId="0" fontId="4" fillId="21" borderId="60" xfId="0" applyFont="1" applyFill="1" applyBorder="1" applyAlignment="1">
      <alignment horizontal="center" vertical="center"/>
    </xf>
    <xf numFmtId="0" fontId="4" fillId="21" borderId="19" xfId="0" applyFont="1" applyFill="1" applyBorder="1" applyAlignment="1">
      <alignment horizontal="center" vertical="center"/>
    </xf>
    <xf numFmtId="0" fontId="0" fillId="0" borderId="234" xfId="0" applyBorder="1" applyAlignment="1">
      <alignment horizontal="center"/>
    </xf>
    <xf numFmtId="0" fontId="0" fillId="0" borderId="235" xfId="0" applyBorder="1" applyAlignment="1">
      <alignment horizontal="center"/>
    </xf>
    <xf numFmtId="1" fontId="4" fillId="3" borderId="218" xfId="0" applyNumberFormat="1" applyFont="1" applyFill="1" applyBorder="1" applyAlignment="1" applyProtection="1">
      <alignment horizontal="center" vertical="center" wrapText="1"/>
      <protection hidden="1"/>
    </xf>
    <xf numFmtId="1" fontId="4" fillId="3" borderId="209" xfId="0" applyNumberFormat="1" applyFont="1" applyFill="1" applyBorder="1" applyAlignment="1" applyProtection="1">
      <alignment horizontal="center" vertical="center" wrapText="1"/>
      <protection hidden="1"/>
    </xf>
    <xf numFmtId="1" fontId="4" fillId="3" borderId="10" xfId="0" applyNumberFormat="1" applyFont="1" applyFill="1" applyBorder="1" applyAlignment="1">
      <alignment horizontal="center" vertical="center" wrapText="1"/>
    </xf>
    <xf numFmtId="1" fontId="4" fillId="0" borderId="123" xfId="0" applyNumberFormat="1" applyFont="1" applyBorder="1" applyAlignment="1">
      <alignment horizontal="center" vertical="center"/>
    </xf>
    <xf numFmtId="1" fontId="4" fillId="0" borderId="123" xfId="0" quotePrefix="1" applyNumberFormat="1" applyFont="1" applyBorder="1" applyAlignment="1">
      <alignment horizontal="center" vertical="center"/>
    </xf>
    <xf numFmtId="1" fontId="4" fillId="0" borderId="230" xfId="0" applyNumberFormat="1" applyFont="1" applyBorder="1" applyAlignment="1">
      <alignment horizontal="center" vertical="center"/>
    </xf>
    <xf numFmtId="1" fontId="4" fillId="0" borderId="230" xfId="3" applyNumberFormat="1" applyFont="1" applyBorder="1" applyAlignment="1" applyProtection="1">
      <alignment horizontal="center" vertical="center"/>
      <protection hidden="1"/>
    </xf>
    <xf numFmtId="1" fontId="4" fillId="0" borderId="247" xfId="3" applyNumberFormat="1" applyFont="1" applyBorder="1" applyAlignment="1" applyProtection="1">
      <alignment horizontal="center" vertical="center"/>
      <protection hidden="1"/>
    </xf>
    <xf numFmtId="1" fontId="4" fillId="0" borderId="123" xfId="2" applyNumberFormat="1" applyFont="1" applyBorder="1" applyAlignment="1" applyProtection="1">
      <alignment horizontal="center" vertical="center" wrapText="1"/>
      <protection hidden="1"/>
    </xf>
    <xf numFmtId="1" fontId="4" fillId="3" borderId="17" xfId="0" applyNumberFormat="1" applyFont="1" applyFill="1" applyBorder="1" applyAlignment="1">
      <alignment horizontal="center" vertical="center"/>
    </xf>
    <xf numFmtId="1" fontId="7" fillId="3" borderId="123" xfId="0" applyNumberFormat="1" applyFont="1" applyFill="1" applyBorder="1" applyAlignment="1">
      <alignment horizontal="center" vertical="center" wrapText="1"/>
    </xf>
    <xf numFmtId="1" fontId="4" fillId="0" borderId="123" xfId="0" applyNumberFormat="1" applyFont="1" applyBorder="1" applyAlignment="1">
      <alignment horizontal="center" vertical="center"/>
    </xf>
    <xf numFmtId="1" fontId="2" fillId="3" borderId="230" xfId="2" applyNumberFormat="1" applyFont="1" applyFill="1" applyBorder="1" applyAlignment="1" applyProtection="1">
      <alignment horizontal="left" vertical="center" wrapText="1"/>
      <protection hidden="1"/>
    </xf>
    <xf numFmtId="1" fontId="4" fillId="0" borderId="123" xfId="2" applyNumberFormat="1" applyFont="1" applyBorder="1" applyAlignment="1">
      <alignment horizontal="right"/>
    </xf>
    <xf numFmtId="1" fontId="4" fillId="12" borderId="17" xfId="2" applyNumberFormat="1" applyFont="1" applyFill="1" applyBorder="1" applyAlignment="1" applyProtection="1">
      <alignment horizontal="right"/>
      <protection locked="0"/>
    </xf>
    <xf numFmtId="1" fontId="4" fillId="12" borderId="123" xfId="2" applyNumberFormat="1" applyFont="1" applyFill="1" applyBorder="1" applyAlignment="1" applyProtection="1">
      <alignment horizontal="right"/>
      <protection locked="0"/>
    </xf>
    <xf numFmtId="1" fontId="4" fillId="7" borderId="247" xfId="2" applyNumberFormat="1" applyFont="1" applyFill="1" applyBorder="1" applyAlignment="1">
      <alignment horizontal="right"/>
    </xf>
    <xf numFmtId="1" fontId="4" fillId="0" borderId="123" xfId="11" applyNumberFormat="1" applyFont="1" applyBorder="1" applyAlignment="1" applyProtection="1">
      <alignment horizontal="center" vertical="center"/>
      <protection hidden="1"/>
    </xf>
    <xf numFmtId="1" fontId="4" fillId="0" borderId="123" xfId="6" applyNumberFormat="1" applyFont="1" applyBorder="1" applyAlignment="1">
      <alignment horizontal="center" vertical="center" wrapText="1"/>
    </xf>
    <xf numFmtId="1" fontId="4" fillId="0" borderId="123" xfId="3" applyNumberFormat="1" applyFont="1" applyBorder="1" applyAlignment="1" applyProtection="1">
      <alignment horizontal="center" vertical="center"/>
      <protection hidden="1"/>
    </xf>
    <xf numFmtId="1" fontId="4" fillId="0" borderId="230" xfId="0" quotePrefix="1" applyNumberFormat="1" applyFont="1" applyBorder="1" applyAlignment="1">
      <alignment horizontal="center" vertical="center" wrapText="1"/>
    </xf>
    <xf numFmtId="1" fontId="4" fillId="0" borderId="24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7" fillId="0" borderId="230" xfId="0" applyNumberFormat="1" applyFont="1" applyBorder="1" applyAlignment="1">
      <alignment horizontal="left" vertical="center" wrapText="1"/>
    </xf>
    <xf numFmtId="1" fontId="4" fillId="0" borderId="17" xfId="0" applyNumberFormat="1" applyFont="1" applyBorder="1" applyAlignment="1">
      <alignment horizontal="right"/>
    </xf>
    <xf numFmtId="1" fontId="4" fillId="12" borderId="17" xfId="12" applyNumberFormat="1" applyFont="1" applyFill="1" applyBorder="1" applyAlignment="1" applyProtection="1">
      <alignment horizontal="right"/>
      <protection locked="0"/>
    </xf>
    <xf numFmtId="0" fontId="7" fillId="3" borderId="123" xfId="0" applyFont="1" applyFill="1" applyBorder="1" applyAlignment="1">
      <alignment horizontal="center" vertical="center" wrapText="1"/>
    </xf>
    <xf numFmtId="1" fontId="2" fillId="20" borderId="230" xfId="2" applyNumberFormat="1" applyFont="1" applyFill="1" applyBorder="1" applyAlignment="1" applyProtection="1">
      <alignment horizontal="left" vertical="center" wrapText="1"/>
      <protection hidden="1"/>
    </xf>
    <xf numFmtId="1" fontId="4" fillId="12" borderId="230" xfId="2" applyNumberFormat="1" applyFont="1" applyFill="1" applyBorder="1" applyAlignment="1" applyProtection="1">
      <alignment horizontal="right"/>
      <protection locked="0"/>
    </xf>
    <xf numFmtId="1" fontId="2" fillId="0" borderId="230" xfId="2" applyNumberFormat="1" applyFont="1" applyBorder="1" applyAlignment="1" applyProtection="1">
      <alignment horizontal="left" vertical="center" wrapText="1"/>
      <protection hidden="1"/>
    </xf>
    <xf numFmtId="1" fontId="4" fillId="0" borderId="247" xfId="0" applyNumberFormat="1" applyFont="1" applyBorder="1" applyAlignment="1">
      <alignment horizontal="left" wrapText="1"/>
    </xf>
    <xf numFmtId="1" fontId="4" fillId="0" borderId="230" xfId="13" applyNumberFormat="1" applyFont="1" applyBorder="1" applyAlignment="1" applyProtection="1">
      <alignment vertical="center" wrapText="1"/>
      <protection hidden="1"/>
    </xf>
    <xf numFmtId="1" fontId="5" fillId="0" borderId="230" xfId="2" applyNumberFormat="1" applyFont="1" applyBorder="1" applyAlignment="1" applyProtection="1">
      <alignment horizontal="left" vertical="center" wrapText="1"/>
      <protection hidden="1"/>
    </xf>
    <xf numFmtId="1" fontId="5" fillId="0" borderId="247" xfId="2" applyNumberFormat="1" applyFont="1" applyBorder="1" applyAlignment="1" applyProtection="1">
      <alignment horizontal="left" vertical="center" wrapText="1"/>
      <protection hidden="1"/>
    </xf>
    <xf numFmtId="1" fontId="4" fillId="0" borderId="123" xfId="13" applyNumberFormat="1" applyFont="1" applyBorder="1" applyAlignment="1" applyProtection="1">
      <alignment horizontal="left" vertical="center" wrapText="1"/>
      <protection hidden="1"/>
    </xf>
    <xf numFmtId="1" fontId="4" fillId="0" borderId="123" xfId="11" applyNumberFormat="1" applyFont="1" applyBorder="1" applyAlignment="1" applyProtection="1">
      <alignment horizontal="left" vertical="center" wrapText="1"/>
      <protection hidden="1"/>
    </xf>
    <xf numFmtId="0" fontId="4" fillId="3" borderId="25" xfId="0" applyFont="1" applyFill="1" applyBorder="1" applyAlignment="1">
      <alignment vertical="center" wrapText="1"/>
    </xf>
    <xf numFmtId="0" fontId="4" fillId="3" borderId="25" xfId="0" applyFont="1" applyFill="1" applyBorder="1" applyAlignment="1">
      <alignment vertical="center" wrapText="1"/>
    </xf>
    <xf numFmtId="0" fontId="4" fillId="3" borderId="97" xfId="0" applyFont="1" applyFill="1" applyBorder="1" applyAlignment="1">
      <alignment vertical="center" wrapText="1"/>
    </xf>
    <xf numFmtId="0" fontId="4" fillId="3" borderId="97" xfId="0" applyFont="1" applyFill="1" applyBorder="1" applyAlignment="1">
      <alignment vertical="center" wrapText="1"/>
    </xf>
    <xf numFmtId="0" fontId="4" fillId="3" borderId="65" xfId="0" applyFont="1" applyFill="1" applyBorder="1" applyAlignment="1">
      <alignment vertical="center" wrapText="1"/>
    </xf>
    <xf numFmtId="0" fontId="4" fillId="21" borderId="206" xfId="0" applyFont="1" applyFill="1" applyBorder="1" applyAlignment="1">
      <alignment horizontal="left" vertical="center" wrapText="1"/>
    </xf>
    <xf numFmtId="0" fontId="4" fillId="21" borderId="3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65" xfId="0" applyFont="1" applyFill="1" applyBorder="1" applyAlignment="1">
      <alignment horizontal="left" vertical="center" wrapText="1"/>
    </xf>
    <xf numFmtId="1" fontId="4" fillId="3" borderId="200" xfId="1" applyNumberFormat="1" applyFont="1" applyFill="1" applyBorder="1" applyAlignment="1">
      <alignment horizontal="left"/>
    </xf>
    <xf numFmtId="1" fontId="4" fillId="3" borderId="119" xfId="0" applyNumberFormat="1" applyFont="1" applyFill="1" applyBorder="1" applyAlignment="1">
      <alignment horizontal="left"/>
    </xf>
    <xf numFmtId="1" fontId="4" fillId="3" borderId="69" xfId="0" applyNumberFormat="1" applyFont="1" applyFill="1" applyBorder="1" applyAlignment="1">
      <alignment horizontal="left"/>
    </xf>
    <xf numFmtId="1" fontId="4" fillId="3" borderId="247" xfId="0" applyNumberFormat="1" applyFont="1" applyFill="1" applyBorder="1" applyAlignment="1">
      <alignment horizontal="left"/>
    </xf>
    <xf numFmtId="1" fontId="4" fillId="3" borderId="202" xfId="0" applyNumberFormat="1" applyFont="1" applyFill="1" applyBorder="1" applyAlignment="1">
      <alignment horizontal="left"/>
    </xf>
    <xf numFmtId="1" fontId="4" fillId="3" borderId="123" xfId="2" applyNumberFormat="1" applyFont="1" applyFill="1" applyBorder="1" applyAlignment="1" applyProtection="1">
      <alignment horizontal="center" vertical="center" wrapText="1"/>
      <protection hidden="1"/>
    </xf>
    <xf numFmtId="1" fontId="4" fillId="3" borderId="36" xfId="2" applyNumberFormat="1" applyFont="1" applyFill="1" applyBorder="1" applyAlignment="1" applyProtection="1">
      <alignment vertical="center" wrapText="1"/>
      <protection hidden="1"/>
    </xf>
    <xf numFmtId="1" fontId="4" fillId="3" borderId="97" xfId="2" applyNumberFormat="1" applyFont="1" applyFill="1" applyBorder="1" applyAlignment="1" applyProtection="1">
      <alignment vertical="center" wrapText="1"/>
      <protection hidden="1"/>
    </xf>
    <xf numFmtId="1" fontId="4" fillId="3" borderId="65" xfId="2" applyNumberFormat="1" applyFont="1" applyFill="1" applyBorder="1" applyAlignment="1" applyProtection="1">
      <alignment vertical="center" wrapText="1"/>
      <protection hidden="1"/>
    </xf>
    <xf numFmtId="1" fontId="4" fillId="3" borderId="206" xfId="2" applyNumberFormat="1" applyFont="1" applyFill="1" applyBorder="1" applyAlignment="1" applyProtection="1">
      <alignment horizontal="center" vertical="center" wrapText="1"/>
      <protection hidden="1"/>
    </xf>
    <xf numFmtId="1" fontId="4" fillId="3" borderId="44" xfId="2" applyNumberFormat="1" applyFont="1" applyFill="1" applyBorder="1" applyAlignment="1" applyProtection="1">
      <alignment horizontal="left" vertical="center" wrapText="1"/>
      <protection hidden="1"/>
    </xf>
    <xf numFmtId="1" fontId="4" fillId="3" borderId="71" xfId="2" applyNumberFormat="1" applyFont="1" applyFill="1" applyBorder="1" applyAlignment="1" applyProtection="1">
      <alignment horizontal="center" vertical="center" wrapText="1"/>
      <protection hidden="1"/>
    </xf>
    <xf numFmtId="1" fontId="4" fillId="3" borderId="32" xfId="2" applyNumberFormat="1" applyFont="1" applyFill="1" applyBorder="1" applyAlignment="1" applyProtection="1">
      <alignment horizontal="center" vertical="center" wrapText="1"/>
      <protection hidden="1"/>
    </xf>
    <xf numFmtId="1" fontId="4" fillId="3" borderId="32" xfId="0" applyNumberFormat="1" applyFont="1" applyFill="1" applyBorder="1" applyAlignment="1">
      <alignment vertical="center"/>
    </xf>
    <xf numFmtId="1" fontId="4" fillId="3" borderId="146" xfId="2" applyNumberFormat="1" applyFont="1" applyFill="1" applyBorder="1" applyAlignment="1" applyProtection="1">
      <alignment vertical="center" wrapText="1"/>
      <protection hidden="1"/>
    </xf>
    <xf numFmtId="1" fontId="13" fillId="3" borderId="44" xfId="0" applyNumberFormat="1" applyFont="1" applyFill="1" applyBorder="1" applyAlignment="1">
      <alignment wrapText="1"/>
    </xf>
    <xf numFmtId="1" fontId="4" fillId="3" borderId="69" xfId="2" applyNumberFormat="1" applyFont="1" applyFill="1" applyBorder="1" applyAlignment="1" applyProtection="1">
      <alignment vertical="center"/>
      <protection hidden="1"/>
    </xf>
  </cellXfs>
  <cellStyles count="25">
    <cellStyle name="Escribir 2" xfId="9" xr:uid="{D3F63BB8-EC32-4AFB-8A1A-281F5C7A7282}"/>
    <cellStyle name="Escribir 2 11" xfId="21" xr:uid="{5C057787-FEB2-4684-AEF3-23522A57EA1C}"/>
    <cellStyle name="Escribir 2 11 3" xfId="7" xr:uid="{07D68002-11CA-47FD-AA31-BA01BAA45667}"/>
    <cellStyle name="Escribir 2 2" xfId="10" xr:uid="{137ACDED-AB3D-407E-9859-0D4AFD6104C3}"/>
    <cellStyle name="Escribir 2 6" xfId="20" xr:uid="{C8E3D9B7-642C-4C75-9E06-DDC224EDB798}"/>
    <cellStyle name="Escribir 2 6 4" xfId="23" xr:uid="{E0109FB9-CED9-413F-8EBE-D778353CD037}"/>
    <cellStyle name="Escribir 2 8" xfId="22" xr:uid="{95993156-38A7-4954-899A-BE04C090D448}"/>
    <cellStyle name="Escribir_P12" xfId="19" xr:uid="{E4559C6E-A153-463A-B9B0-56911F410D28}"/>
    <cellStyle name="Escribir_P12 2" xfId="24" xr:uid="{F9CA4CF6-A080-4664-9F86-88EA20D5D878}"/>
    <cellStyle name="Millares [0] 4" xfId="12" xr:uid="{E47D925B-D1BB-438C-A1C3-EB95481EDEED}"/>
    <cellStyle name="Millares 2 4" xfId="15" xr:uid="{59013CDE-F1D1-4D73-8C27-E9B9C339A681}"/>
    <cellStyle name="Normal" xfId="0" builtinId="0"/>
    <cellStyle name="Normal 2" xfId="6" xr:uid="{A9C894E1-2AAC-4F47-92B8-CDE2D5396D55}"/>
    <cellStyle name="Normal 2 2" xfId="4" xr:uid="{890B9C75-C434-4953-A6F1-012D32483B76}"/>
    <cellStyle name="Normal 3" xfId="11" xr:uid="{237B1D0D-1ABB-4C35-B255-6BB943361B08}"/>
    <cellStyle name="Normal_APS 2" xfId="17" xr:uid="{4F23841F-8D50-4755-918E-D120D1174C10}"/>
    <cellStyle name="Normal_REM 02-2002" xfId="1" xr:uid="{0A708803-BB0B-4433-B827-1CF5ACFEE91D}"/>
    <cellStyle name="Normal_REM 04-2002" xfId="2" xr:uid="{80772DF7-0538-4DAC-B849-053BF6CB11B4}"/>
    <cellStyle name="Normal_REM 05-2002" xfId="3" xr:uid="{559AA7E8-7A59-4C01-A696-58612C2518C0}"/>
    <cellStyle name="Normal_REM 05-2002 2" xfId="14" xr:uid="{3C1C0F7E-C44E-4EA0-ADE6-062C6FF45770}"/>
    <cellStyle name="Normal_REM 06-2002" xfId="13" xr:uid="{0DD14B38-FF8E-4E96-9697-8F5AA358DF33}"/>
    <cellStyle name="Normal_REM 12-2002" xfId="18" xr:uid="{EFB44C80-870E-4398-915A-77A3AC9997B5}"/>
    <cellStyle name="Normal_RMC_0" xfId="5" xr:uid="{49E7518A-C4A7-4595-9DA1-827FADEA8512}"/>
    <cellStyle name="Normal_RMC_0 2" xfId="8" xr:uid="{95EFC329-2AB4-4A46-8F8A-C5B4F615A80D}"/>
    <cellStyle name="Normal_RMC_0 3" xfId="16" xr:uid="{1B06E3FC-A209-45F4-AD17-C2996F19B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_25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l"/>
      <sheetName val="MACROS"/>
    </sheetNames>
    <sheetDataSet>
      <sheetData sheetId="0">
        <row r="2">
          <cell r="B2"/>
          <cell r="C2"/>
          <cell r="D2"/>
          <cell r="E2"/>
          <cell r="F2"/>
          <cell r="G2"/>
        </row>
        <row r="3">
          <cell r="B3"/>
          <cell r="C3"/>
          <cell r="D3"/>
          <cell r="E3"/>
          <cell r="F3"/>
          <cell r="G3"/>
          <cell r="H3"/>
        </row>
        <row r="6">
          <cell r="B6"/>
          <cell r="C6"/>
          <cell r="D6"/>
        </row>
        <row r="7">
          <cell r="B7">
            <v>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A442-3D1C-454F-8198-D47F92AB5038}">
  <dimension ref="A1:CV173"/>
  <sheetViews>
    <sheetView zoomScaleNormal="100" workbookViewId="0"/>
  </sheetViews>
  <sheetFormatPr baseColWidth="10" defaultColWidth="11.453125" defaultRowHeight="10"/>
  <cols>
    <col min="1" max="1" width="45.54296875" style="5" customWidth="1"/>
    <col min="2" max="2" width="25.6328125" style="5" customWidth="1"/>
    <col min="3" max="3" width="22.54296875" style="5" customWidth="1"/>
    <col min="4" max="4" width="18.36328125" style="5" customWidth="1"/>
    <col min="5" max="5" width="16" style="5" customWidth="1"/>
    <col min="6" max="6" width="15.453125" style="5" customWidth="1"/>
    <col min="7" max="7" width="17.36328125" style="5" customWidth="1"/>
    <col min="8" max="8" width="15.08984375" style="5" customWidth="1"/>
    <col min="9" max="9" width="12.6328125" style="5" customWidth="1"/>
    <col min="10" max="10" width="12" style="5" customWidth="1"/>
    <col min="11" max="12" width="11.90625" style="5" customWidth="1"/>
    <col min="13" max="13" width="12.90625" style="5" customWidth="1"/>
    <col min="14" max="14" width="12.54296875" style="5" customWidth="1"/>
    <col min="15" max="15" width="10.6328125" style="5" customWidth="1"/>
    <col min="16" max="16" width="11.453125" style="5" customWidth="1"/>
    <col min="17" max="17" width="11.36328125" style="5" customWidth="1"/>
    <col min="18" max="18" width="11.453125" style="5" customWidth="1"/>
    <col min="19" max="19" width="9.6328125" style="5" customWidth="1"/>
    <col min="20" max="20" width="12.54296875" style="5" customWidth="1"/>
    <col min="21" max="22" width="11.453125" style="5"/>
    <col min="23" max="23" width="11.90625" style="5" customWidth="1"/>
    <col min="24" max="24" width="11.90625" style="6" customWidth="1"/>
    <col min="25" max="61" width="11.90625" style="2" customWidth="1"/>
    <col min="62" max="63" width="11.90625" style="6" customWidth="1"/>
    <col min="64" max="78" width="11.453125" style="6"/>
    <col min="79" max="92" width="11.453125" style="5" hidden="1" customWidth="1"/>
    <col min="93" max="100" width="10.6328125" style="5" hidden="1" customWidth="1"/>
    <col min="101" max="16384" width="11.453125" style="5"/>
  </cols>
  <sheetData>
    <row r="1" spans="1:100" s="3" customFormat="1" ht="13.5" customHeight="1">
      <c r="A1" s="1" t="s">
        <v>0</v>
      </c>
      <c r="B1" s="1"/>
      <c r="C1" s="1"/>
      <c r="D1" s="1"/>
      <c r="E1" s="1"/>
      <c r="F1" s="1"/>
      <c r="G1" s="1"/>
      <c r="H1" s="1"/>
      <c r="I1" s="1"/>
      <c r="J1" s="1"/>
      <c r="K1" s="1"/>
      <c r="L1" s="1"/>
      <c r="M1" s="1"/>
      <c r="N1" s="1"/>
      <c r="O1" s="1"/>
      <c r="P1" s="1"/>
      <c r="Q1" s="1"/>
      <c r="R1" s="1"/>
      <c r="S1" s="1"/>
      <c r="T1" s="1"/>
      <c r="U1" s="1"/>
      <c r="V1" s="1"/>
      <c r="W1" s="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100" s="3" customFormat="1" ht="13.5" customHeight="1">
      <c r="A2" s="1" t="s">
        <v>449</v>
      </c>
      <c r="B2" s="1"/>
      <c r="C2" s="1"/>
      <c r="D2" s="4"/>
      <c r="E2" s="1"/>
      <c r="F2" s="1"/>
      <c r="G2" s="1"/>
      <c r="H2" s="1"/>
      <c r="I2" s="1"/>
      <c r="J2" s="1"/>
      <c r="K2" s="1"/>
      <c r="L2" s="1"/>
      <c r="M2" s="1"/>
      <c r="N2" s="1"/>
      <c r="O2" s="1"/>
      <c r="P2" s="1"/>
      <c r="Q2" s="1"/>
      <c r="R2" s="1"/>
      <c r="S2" s="1"/>
      <c r="T2" s="1"/>
      <c r="U2" s="1"/>
      <c r="V2" s="1"/>
      <c r="W2" s="1"/>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100" s="3" customFormat="1" ht="13.5" customHeight="1">
      <c r="A3" s="1" t="s">
        <v>450</v>
      </c>
      <c r="B3" s="1"/>
      <c r="C3" s="1"/>
      <c r="D3" s="1"/>
      <c r="E3" s="1"/>
      <c r="F3" s="1"/>
      <c r="G3" s="1"/>
      <c r="H3" s="1"/>
      <c r="I3" s="1"/>
      <c r="J3" s="1"/>
      <c r="K3" s="1"/>
      <c r="L3" s="1"/>
      <c r="M3" s="1"/>
      <c r="N3" s="1"/>
      <c r="O3" s="1"/>
      <c r="P3" s="1"/>
      <c r="Q3" s="1"/>
      <c r="R3" s="1"/>
      <c r="S3" s="1"/>
      <c r="T3" s="1"/>
      <c r="U3" s="1"/>
      <c r="V3" s="1"/>
      <c r="W3" s="1"/>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1:100" s="3" customFormat="1" ht="13.5" customHeight="1">
      <c r="A4" s="1" t="s">
        <v>451</v>
      </c>
      <c r="B4" s="1"/>
      <c r="C4" s="1"/>
      <c r="D4" s="1"/>
      <c r="E4" s="1"/>
      <c r="F4" s="1"/>
      <c r="G4" s="1"/>
      <c r="H4" s="1"/>
      <c r="I4" s="1"/>
      <c r="J4" s="1"/>
      <c r="K4" s="1"/>
      <c r="L4" s="1"/>
      <c r="M4" s="1"/>
      <c r="N4" s="1"/>
      <c r="O4" s="1"/>
      <c r="P4" s="1"/>
      <c r="Q4" s="1"/>
      <c r="R4" s="1"/>
      <c r="S4" s="1"/>
      <c r="T4" s="1"/>
      <c r="U4" s="1"/>
      <c r="V4" s="1"/>
      <c r="W4" s="1"/>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row>
    <row r="5" spans="1:100" s="3" customFormat="1" ht="13.5" customHeight="1">
      <c r="A5" s="1" t="s">
        <v>452</v>
      </c>
      <c r="B5" s="1"/>
      <c r="C5" s="1"/>
      <c r="D5" s="1"/>
      <c r="E5" s="1"/>
      <c r="F5" s="1"/>
      <c r="G5" s="1"/>
      <c r="H5" s="1"/>
      <c r="I5" s="1"/>
      <c r="J5" s="1"/>
      <c r="K5" s="1"/>
      <c r="L5" s="1"/>
      <c r="M5" s="1"/>
      <c r="N5" s="1"/>
      <c r="O5" s="1"/>
      <c r="P5" s="1"/>
      <c r="Q5" s="1"/>
      <c r="R5" s="1"/>
      <c r="S5" s="1"/>
      <c r="T5" s="1"/>
      <c r="U5" s="1"/>
      <c r="V5" s="1"/>
      <c r="W5" s="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100" ht="18" customHeight="1">
      <c r="A6" s="1745" t="s">
        <v>1</v>
      </c>
      <c r="B6" s="1745"/>
      <c r="C6" s="1745"/>
      <c r="D6" s="1745"/>
      <c r="E6" s="1745"/>
      <c r="F6" s="1745"/>
      <c r="G6" s="1745"/>
      <c r="H6" s="1745"/>
      <c r="I6" s="1745"/>
      <c r="J6" s="1745"/>
      <c r="K6" s="1745"/>
      <c r="L6" s="1745"/>
      <c r="M6" s="1745"/>
      <c r="N6" s="1745"/>
      <c r="O6" s="1745"/>
      <c r="P6" s="1745"/>
    </row>
    <row r="7" spans="1:100" ht="17.149999999999999" customHeight="1">
      <c r="A7" s="1658" t="s">
        <v>2</v>
      </c>
      <c r="B7" s="1659"/>
      <c r="C7" s="1659"/>
      <c r="D7" s="1659"/>
      <c r="E7" s="1659"/>
      <c r="F7" s="1659"/>
      <c r="G7" s="1659"/>
      <c r="H7" s="7"/>
    </row>
    <row r="8" spans="1:100" ht="17.149999999999999" customHeight="1">
      <c r="A8" s="1683" t="s">
        <v>3</v>
      </c>
      <c r="B8" s="1684"/>
      <c r="C8" s="1684"/>
      <c r="D8" s="1684"/>
      <c r="E8" s="1684"/>
      <c r="F8" s="1684"/>
      <c r="G8" s="1684"/>
      <c r="H8" s="1684"/>
      <c r="I8" s="1684"/>
      <c r="J8" s="1684"/>
      <c r="K8" s="1684"/>
      <c r="L8" s="1684"/>
      <c r="M8" s="1684"/>
      <c r="N8" s="8"/>
    </row>
    <row r="9" spans="1:100" ht="15" customHeight="1">
      <c r="A9" s="1692" t="s">
        <v>4</v>
      </c>
      <c r="B9" s="1693"/>
      <c r="C9" s="1696" t="s">
        <v>5</v>
      </c>
      <c r="D9" s="1698" t="s">
        <v>6</v>
      </c>
      <c r="E9" s="1699"/>
      <c r="F9" s="1699"/>
      <c r="G9" s="1699"/>
      <c r="H9" s="1699"/>
      <c r="I9" s="1699"/>
      <c r="J9" s="1699"/>
      <c r="K9" s="1699"/>
      <c r="L9" s="1699"/>
      <c r="M9" s="1699"/>
      <c r="N9" s="1699"/>
      <c r="O9" s="1699"/>
      <c r="P9" s="1733"/>
      <c r="Q9" s="1708" t="s">
        <v>7</v>
      </c>
      <c r="R9" s="1736" t="s">
        <v>8</v>
      </c>
      <c r="S9" s="1722"/>
      <c r="T9" s="1723" t="s">
        <v>9</v>
      </c>
      <c r="U9" s="1725" t="s">
        <v>843</v>
      </c>
      <c r="V9" s="1726"/>
      <c r="W9" s="1727"/>
      <c r="X9" s="1704" t="s">
        <v>11</v>
      </c>
      <c r="Y9" s="5"/>
      <c r="Z9" s="5"/>
      <c r="AA9" s="5"/>
      <c r="AB9" s="5"/>
      <c r="AC9" s="6"/>
      <c r="BJ9" s="2"/>
      <c r="BK9" s="2"/>
      <c r="BL9" s="2"/>
      <c r="BM9" s="2"/>
      <c r="BN9" s="2"/>
      <c r="CA9" s="6"/>
      <c r="CB9" s="6"/>
      <c r="CC9" s="6"/>
      <c r="CD9" s="6"/>
      <c r="CE9" s="6"/>
    </row>
    <row r="10" spans="1:100" ht="33" customHeight="1">
      <c r="A10" s="1694"/>
      <c r="B10" s="1695"/>
      <c r="C10" s="1697"/>
      <c r="D10" s="9" t="s">
        <v>12</v>
      </c>
      <c r="E10" s="10" t="s">
        <v>13</v>
      </c>
      <c r="F10" s="10" t="s">
        <v>14</v>
      </c>
      <c r="G10" s="11" t="s">
        <v>15</v>
      </c>
      <c r="H10" s="11" t="s">
        <v>16</v>
      </c>
      <c r="I10" s="11" t="s">
        <v>17</v>
      </c>
      <c r="J10" s="11" t="s">
        <v>18</v>
      </c>
      <c r="K10" s="11" t="s">
        <v>19</v>
      </c>
      <c r="L10" s="11" t="s">
        <v>20</v>
      </c>
      <c r="M10" s="12" t="s">
        <v>21</v>
      </c>
      <c r="N10" s="11" t="s">
        <v>22</v>
      </c>
      <c r="O10" s="13" t="s">
        <v>23</v>
      </c>
      <c r="P10" s="14" t="s">
        <v>24</v>
      </c>
      <c r="Q10" s="1709"/>
      <c r="R10" s="15" t="s">
        <v>25</v>
      </c>
      <c r="S10" s="16" t="s">
        <v>26</v>
      </c>
      <c r="T10" s="1724"/>
      <c r="U10" s="17" t="s">
        <v>27</v>
      </c>
      <c r="V10" s="18" t="s">
        <v>28</v>
      </c>
      <c r="W10" s="19" t="s">
        <v>29</v>
      </c>
      <c r="X10" s="1704"/>
      <c r="Y10" s="20"/>
      <c r="Z10" s="20"/>
      <c r="AA10" s="20"/>
      <c r="AB10" s="20"/>
      <c r="AC10" s="21"/>
      <c r="BJ10" s="2"/>
      <c r="BK10" s="2"/>
      <c r="BL10" s="2"/>
      <c r="BM10" s="2"/>
      <c r="BN10" s="2"/>
      <c r="CA10" s="6"/>
      <c r="CB10" s="6"/>
      <c r="CC10" s="6"/>
      <c r="CD10" s="6"/>
      <c r="CE10" s="6"/>
    </row>
    <row r="11" spans="1:100" ht="15" customHeight="1">
      <c r="A11" s="1702" t="s">
        <v>30</v>
      </c>
      <c r="B11" s="1703"/>
      <c r="C11" s="22">
        <f>SUM(D11:M11)</f>
        <v>0</v>
      </c>
      <c r="D11" s="23"/>
      <c r="E11" s="23"/>
      <c r="F11" s="23"/>
      <c r="G11" s="23"/>
      <c r="H11" s="23"/>
      <c r="I11" s="23"/>
      <c r="J11" s="23"/>
      <c r="K11" s="23"/>
      <c r="L11" s="23"/>
      <c r="M11" s="23"/>
      <c r="N11" s="24"/>
      <c r="O11" s="24"/>
      <c r="P11" s="25"/>
      <c r="Q11" s="26"/>
      <c r="R11" s="27"/>
      <c r="S11" s="28"/>
      <c r="T11" s="305"/>
      <c r="U11" s="23"/>
      <c r="V11" s="29"/>
      <c r="W11" s="30"/>
      <c r="X11" s="30"/>
      <c r="Y11" s="31" t="str">
        <f>$CA11&amp;CB11&amp;CC11&amp;CD11&amp;CE11&amp;CF11&amp;CG11&amp;CH11</f>
        <v/>
      </c>
      <c r="Z11" s="5"/>
      <c r="AA11" s="5"/>
      <c r="AB11" s="5"/>
      <c r="AC11" s="6"/>
      <c r="BJ11" s="2"/>
      <c r="BK11" s="2"/>
      <c r="BL11" s="2"/>
      <c r="BM11" s="2"/>
      <c r="BN11" s="2"/>
      <c r="CA11" s="32" t="str">
        <f>IF(AND($C11&lt;&gt;0,Q11=""),"* No olvide ingresar la variable "&amp;Q$9&amp;""&amp;". Digite CERO si no tiene.",IF(Q11&gt;$C11,"* El Número de Pueblos Originarios no puede superar el Total. ",""))</f>
        <v/>
      </c>
      <c r="CB11" s="32" t="str">
        <f>IF(AND($C11&gt;0,R11=""),"* No olvide ingresar la variable "&amp;R$9&amp;""&amp;" Menor de 20 años. Digite CERO si no tiene.",IF(R11&gt;$C11,"* El Número de Migrantes Menor de 20 años no puede superar el Total. ",""))</f>
        <v/>
      </c>
      <c r="CC11" s="32" t="str">
        <f>IF(AND($C11&gt;0,S11=""),"* No olvide ingresar la variable "&amp;R$9&amp;""&amp;" 20 años y más. Digite CERO si no tiene.",IF(S11&gt;$C11,"* El Número de Migrantes 20 años y más no puede superar el Total. ",""))</f>
        <v/>
      </c>
      <c r="CD11" s="32" t="str">
        <f>IF(AND($C11&lt;&gt;0,T11=""),"* No olvide ingresar la variable "&amp;T$9&amp;""&amp;". Digite CERO si no tiene.",IF(T11&gt;$C11,"* El Número de PV-VIH (personas viviendo con VIH) no puede superar el Total. ",""))</f>
        <v/>
      </c>
      <c r="CE11" s="32" t="str">
        <f t="shared" ref="CE11:CE20" si="0">IF(AND($C11&lt;&gt;0,U11=""),"* No olvide ingresar la variable "&amp;U$10&amp;""&amp;". Digite CERO si no tiene.",IF(U11&gt;$C11,"* El Número de Trans masculino no puede superar el Total. ",""))</f>
        <v/>
      </c>
      <c r="CF11" s="33"/>
      <c r="CG11" s="32" t="str">
        <f t="shared" ref="CG11:CG24" si="1">IF(AND($C11&lt;&gt;0,W11=""),"* No olvide ingresar la variable "&amp;W$10&amp;""&amp;". Digite CERO si no tiene.",IF(W11&gt;$C11,"* El Número de No Binarie no puede superar el Total. ",""))</f>
        <v/>
      </c>
      <c r="CH11" s="32" t="str">
        <f>IF(AND($C11&lt;&gt;0,X11=""),"* No olvide ingresar la variable "&amp;X$9&amp;""&amp;". Digite CERO si no tiene.",IF(X11&gt;$C11,"* El Número de Personas con discapacidad no puede superar el Total. ",""))</f>
        <v/>
      </c>
      <c r="CO11" s="34">
        <f>IF(AND($C11&lt;&gt;0,$Q11=""),1,IF($Q11&gt;$C11,1,0))</f>
        <v>0</v>
      </c>
      <c r="CP11" s="34">
        <f>IF(AND($C11&lt;&gt;0,$R11),1,IF($R11&gt;$C11,1,0))</f>
        <v>0</v>
      </c>
      <c r="CQ11" s="34">
        <f>IF(AND($C11&lt;&gt;0,$S11),1,IF($S11&gt;$C11,1,0))</f>
        <v>0</v>
      </c>
      <c r="CR11" s="34">
        <f>IF(AND($C11&lt;&gt;0,$T11=""),1,IF($T11&gt;$C11,1,0))</f>
        <v>0</v>
      </c>
      <c r="CS11" s="34">
        <f>IF(AND($C11&lt;&gt;0,$U11=""),1,IF($U11&gt;$C11,1,0))</f>
        <v>0</v>
      </c>
      <c r="CT11" s="35"/>
      <c r="CU11" s="34">
        <f t="shared" ref="CU11:CV24" si="2">IF(AND($C11&lt;&gt;0,W11=""),1,IF(W11&gt;$C11,1,0))</f>
        <v>0</v>
      </c>
      <c r="CV11" s="34">
        <f t="shared" si="2"/>
        <v>0</v>
      </c>
    </row>
    <row r="12" spans="1:100" ht="15" customHeight="1">
      <c r="A12" s="291" t="s">
        <v>31</v>
      </c>
      <c r="B12" s="292"/>
      <c r="C12" s="36">
        <f t="shared" ref="C12:C18" si="3">SUM(D12:M12)</f>
        <v>0</v>
      </c>
      <c r="D12" s="37"/>
      <c r="E12" s="37"/>
      <c r="F12" s="37"/>
      <c r="G12" s="37"/>
      <c r="H12" s="37"/>
      <c r="I12" s="37"/>
      <c r="J12" s="37"/>
      <c r="K12" s="37"/>
      <c r="L12" s="37"/>
      <c r="M12" s="37"/>
      <c r="N12" s="38"/>
      <c r="O12" s="38"/>
      <c r="P12" s="39"/>
      <c r="Q12" s="40"/>
      <c r="R12" s="41"/>
      <c r="S12" s="42"/>
      <c r="T12" s="306"/>
      <c r="U12" s="37"/>
      <c r="V12" s="43"/>
      <c r="W12" s="44"/>
      <c r="X12" s="44"/>
      <c r="Y12" s="31" t="str">
        <f t="shared" ref="Y12:Y31" si="4">$CA12&amp;CB12&amp;CC12&amp;CD12&amp;CE12&amp;CF12&amp;CG12&amp;CH12</f>
        <v/>
      </c>
      <c r="Z12" s="5"/>
      <c r="AA12" s="5"/>
      <c r="AB12" s="5"/>
      <c r="AC12" s="6"/>
      <c r="BJ12" s="2"/>
      <c r="BK12" s="2"/>
      <c r="BL12" s="2"/>
      <c r="BM12" s="2"/>
      <c r="BN12" s="2"/>
      <c r="CA12" s="32" t="str">
        <f t="shared" ref="CA12:CA24" si="5">IF(AND($C12&lt;&gt;0,Q12=""),"* No olvide ingresar la variable "&amp;Q$9&amp;""&amp;". Digite CERO si no tiene.",IF(Q12&gt;$C12,"* El Número de Pueblos Originarios no puede superar el Total. ",""))</f>
        <v/>
      </c>
      <c r="CB12" s="32" t="str">
        <f t="shared" ref="CB12:CB31" si="6">IF(AND($C12&gt;0,R12=""),"* No olvide ingresar la variable "&amp;R$9&amp;""&amp;" Menor de 20 años. Digite CERO si no tiene.",IF(R12&gt;$C12,"* El Número de Migrantes Menor de 20 años no puede superar el Total. ",""))</f>
        <v/>
      </c>
      <c r="CC12" s="32" t="str">
        <f t="shared" ref="CC12:CC24" si="7">IF(AND($C12&gt;0,S12=""),"* No olvide ingresar la variable "&amp;R$9&amp;""&amp;" 20 años y más. Digite CERO si no tiene.",IF(S12&gt;$C12,"* El Número de Migrantes 20 años y más no puede superar el Total. ",""))</f>
        <v/>
      </c>
      <c r="CD12" s="32" t="str">
        <f t="shared" ref="CD12:CD24" si="8">IF(AND($C12&lt;&gt;0,T12=""),"* No olvide ingresar la variable "&amp;T$9&amp;""&amp;". Digite CERO si no tiene.",IF(T12&gt;$C12,"* El Número de PV-VIH (personas viviendo con VIH) no puede superar el Total. ",""))</f>
        <v/>
      </c>
      <c r="CE12" s="32" t="str">
        <f t="shared" si="0"/>
        <v/>
      </c>
      <c r="CF12" s="33"/>
      <c r="CG12" s="32" t="str">
        <f t="shared" si="1"/>
        <v/>
      </c>
      <c r="CH12" s="32" t="str">
        <f t="shared" ref="CH12:CH31" si="9">IF(AND($C12&lt;&gt;0,X12=""),"* No olvide ingresar la variable "&amp;X$9&amp;""&amp;". Digite CERO si no tiene.",IF(X12&gt;$C12,"* El Número de Personas con discapacidad no puede superar el Total. ",""))</f>
        <v/>
      </c>
      <c r="CO12" s="34">
        <f t="shared" ref="CO12:CO30" si="10">IF(AND($C12&lt;&gt;0,$Q12=""),1,IF($Q12&gt;$C12,1,0))</f>
        <v>0</v>
      </c>
      <c r="CP12" s="34">
        <f t="shared" ref="CP12:CP30" si="11">IF(AND($C12&lt;&gt;0,$R12),1,IF($R12&gt;$C12,1,0))</f>
        <v>0</v>
      </c>
      <c r="CQ12" s="34">
        <f t="shared" ref="CQ12:CQ30" si="12">IF(AND($C12&lt;&gt;0,$S12),1,IF($S12&gt;$C12,1,0))</f>
        <v>0</v>
      </c>
      <c r="CR12" s="34">
        <f t="shared" ref="CR12:CR30" si="13">IF(AND($C12&lt;&gt;0,$T12=""),1,IF($T12&gt;$C12,1,0))</f>
        <v>0</v>
      </c>
      <c r="CS12" s="34">
        <f t="shared" ref="CS12:CS30" si="14">IF(AND($C12&lt;&gt;0,$U12=""),1,IF($U12&gt;$C12,1,0))</f>
        <v>0</v>
      </c>
      <c r="CT12" s="35"/>
      <c r="CU12" s="34">
        <f t="shared" si="2"/>
        <v>0</v>
      </c>
      <c r="CV12" s="34">
        <f t="shared" si="2"/>
        <v>0</v>
      </c>
    </row>
    <row r="13" spans="1:100" ht="15" customHeight="1">
      <c r="A13" s="1730" t="s">
        <v>32</v>
      </c>
      <c r="B13" s="293" t="s">
        <v>33</v>
      </c>
      <c r="C13" s="45">
        <f t="shared" si="3"/>
        <v>0</v>
      </c>
      <c r="D13" s="46"/>
      <c r="E13" s="46"/>
      <c r="F13" s="46"/>
      <c r="G13" s="46"/>
      <c r="H13" s="46"/>
      <c r="I13" s="46"/>
      <c r="J13" s="46"/>
      <c r="K13" s="46"/>
      <c r="L13" s="46"/>
      <c r="M13" s="46"/>
      <c r="N13" s="47"/>
      <c r="O13" s="47"/>
      <c r="P13" s="48"/>
      <c r="Q13" s="49"/>
      <c r="R13" s="50"/>
      <c r="S13" s="51"/>
      <c r="T13" s="307"/>
      <c r="U13" s="46"/>
      <c r="V13" s="52"/>
      <c r="W13" s="53"/>
      <c r="X13" s="53"/>
      <c r="Y13" s="31" t="str">
        <f t="shared" si="4"/>
        <v/>
      </c>
      <c r="Z13" s="5"/>
      <c r="AA13" s="5"/>
      <c r="AB13" s="5"/>
      <c r="AC13" s="6"/>
      <c r="BJ13" s="2"/>
      <c r="BK13" s="2"/>
      <c r="BL13" s="2"/>
      <c r="BM13" s="2"/>
      <c r="BN13" s="2"/>
      <c r="CA13" s="32" t="str">
        <f t="shared" si="5"/>
        <v/>
      </c>
      <c r="CB13" s="32" t="str">
        <f t="shared" si="6"/>
        <v/>
      </c>
      <c r="CC13" s="32" t="str">
        <f t="shared" si="7"/>
        <v/>
      </c>
      <c r="CD13" s="32" t="str">
        <f t="shared" si="8"/>
        <v/>
      </c>
      <c r="CE13" s="32" t="str">
        <f t="shared" si="0"/>
        <v/>
      </c>
      <c r="CF13" s="33"/>
      <c r="CG13" s="32" t="str">
        <f t="shared" si="1"/>
        <v/>
      </c>
      <c r="CH13" s="32" t="str">
        <f t="shared" si="9"/>
        <v/>
      </c>
      <c r="CO13" s="34">
        <f t="shared" si="10"/>
        <v>0</v>
      </c>
      <c r="CP13" s="34">
        <f t="shared" si="11"/>
        <v>0</v>
      </c>
      <c r="CQ13" s="34">
        <f t="shared" si="12"/>
        <v>0</v>
      </c>
      <c r="CR13" s="34">
        <f t="shared" si="13"/>
        <v>0</v>
      </c>
      <c r="CS13" s="34">
        <f t="shared" si="14"/>
        <v>0</v>
      </c>
      <c r="CT13" s="35"/>
      <c r="CU13" s="34">
        <f t="shared" si="2"/>
        <v>0</v>
      </c>
      <c r="CV13" s="34">
        <f t="shared" si="2"/>
        <v>0</v>
      </c>
    </row>
    <row r="14" spans="1:100" ht="15" customHeight="1">
      <c r="A14" s="1728"/>
      <c r="B14" s="294" t="s">
        <v>34</v>
      </c>
      <c r="C14" s="45">
        <f t="shared" si="3"/>
        <v>0</v>
      </c>
      <c r="D14" s="54"/>
      <c r="E14" s="54"/>
      <c r="F14" s="54"/>
      <c r="G14" s="54"/>
      <c r="H14" s="54"/>
      <c r="I14" s="54"/>
      <c r="J14" s="54"/>
      <c r="K14" s="54"/>
      <c r="L14" s="54"/>
      <c r="M14" s="54"/>
      <c r="N14" s="55"/>
      <c r="O14" s="55"/>
      <c r="P14" s="56"/>
      <c r="Q14" s="49"/>
      <c r="R14" s="57"/>
      <c r="S14" s="58"/>
      <c r="T14" s="308"/>
      <c r="U14" s="46"/>
      <c r="V14" s="59"/>
      <c r="W14" s="60"/>
      <c r="X14" s="60"/>
      <c r="Y14" s="31" t="str">
        <f t="shared" si="4"/>
        <v/>
      </c>
      <c r="Z14" s="5"/>
      <c r="AA14" s="5"/>
      <c r="AB14" s="5"/>
      <c r="AC14" s="6"/>
      <c r="BJ14" s="2"/>
      <c r="BK14" s="2"/>
      <c r="BL14" s="2"/>
      <c r="BM14" s="2"/>
      <c r="BN14" s="2"/>
      <c r="CA14" s="32" t="str">
        <f t="shared" si="5"/>
        <v/>
      </c>
      <c r="CB14" s="32" t="str">
        <f t="shared" si="6"/>
        <v/>
      </c>
      <c r="CC14" s="32" t="str">
        <f t="shared" si="7"/>
        <v/>
      </c>
      <c r="CD14" s="32" t="str">
        <f t="shared" si="8"/>
        <v/>
      </c>
      <c r="CE14" s="32" t="str">
        <f t="shared" si="0"/>
        <v/>
      </c>
      <c r="CF14" s="33"/>
      <c r="CG14" s="32" t="str">
        <f t="shared" si="1"/>
        <v/>
      </c>
      <c r="CH14" s="32" t="str">
        <f t="shared" si="9"/>
        <v/>
      </c>
      <c r="CO14" s="34">
        <f t="shared" si="10"/>
        <v>0</v>
      </c>
      <c r="CP14" s="34">
        <f t="shared" si="11"/>
        <v>0</v>
      </c>
      <c r="CQ14" s="34">
        <f t="shared" si="12"/>
        <v>0</v>
      </c>
      <c r="CR14" s="34">
        <f t="shared" si="13"/>
        <v>0</v>
      </c>
      <c r="CS14" s="34">
        <f t="shared" si="14"/>
        <v>0</v>
      </c>
      <c r="CT14" s="35"/>
      <c r="CU14" s="34">
        <f t="shared" si="2"/>
        <v>0</v>
      </c>
      <c r="CV14" s="34">
        <f t="shared" si="2"/>
        <v>0</v>
      </c>
    </row>
    <row r="15" spans="1:100" ht="15" customHeight="1">
      <c r="A15" s="1728"/>
      <c r="B15" s="294" t="s">
        <v>35</v>
      </c>
      <c r="C15" s="45">
        <f t="shared" si="3"/>
        <v>0</v>
      </c>
      <c r="D15" s="54"/>
      <c r="E15" s="54"/>
      <c r="F15" s="54"/>
      <c r="G15" s="54"/>
      <c r="H15" s="54"/>
      <c r="I15" s="54"/>
      <c r="J15" s="54"/>
      <c r="K15" s="54"/>
      <c r="L15" s="54"/>
      <c r="M15" s="54"/>
      <c r="N15" s="55"/>
      <c r="O15" s="55"/>
      <c r="P15" s="56"/>
      <c r="Q15" s="49"/>
      <c r="R15" s="57"/>
      <c r="S15" s="58"/>
      <c r="T15" s="308"/>
      <c r="U15" s="46"/>
      <c r="V15" s="59"/>
      <c r="W15" s="60"/>
      <c r="X15" s="60"/>
      <c r="Y15" s="31" t="str">
        <f t="shared" si="4"/>
        <v/>
      </c>
      <c r="Z15" s="5"/>
      <c r="AA15" s="5"/>
      <c r="AB15" s="5"/>
      <c r="AC15" s="6"/>
      <c r="BJ15" s="2"/>
      <c r="BK15" s="2"/>
      <c r="BL15" s="2"/>
      <c r="BM15" s="2"/>
      <c r="BN15" s="2"/>
      <c r="CA15" s="32" t="str">
        <f t="shared" si="5"/>
        <v/>
      </c>
      <c r="CB15" s="32" t="str">
        <f t="shared" si="6"/>
        <v/>
      </c>
      <c r="CC15" s="32" t="str">
        <f t="shared" si="7"/>
        <v/>
      </c>
      <c r="CD15" s="32" t="str">
        <f t="shared" si="8"/>
        <v/>
      </c>
      <c r="CE15" s="32" t="str">
        <f t="shared" si="0"/>
        <v/>
      </c>
      <c r="CF15" s="33"/>
      <c r="CG15" s="32" t="str">
        <f t="shared" si="1"/>
        <v/>
      </c>
      <c r="CH15" s="32" t="str">
        <f t="shared" si="9"/>
        <v/>
      </c>
      <c r="CO15" s="34">
        <f t="shared" si="10"/>
        <v>0</v>
      </c>
      <c r="CP15" s="34">
        <f t="shared" si="11"/>
        <v>0</v>
      </c>
      <c r="CQ15" s="34">
        <f t="shared" si="12"/>
        <v>0</v>
      </c>
      <c r="CR15" s="34">
        <f t="shared" si="13"/>
        <v>0</v>
      </c>
      <c r="CS15" s="34">
        <f t="shared" si="14"/>
        <v>0</v>
      </c>
      <c r="CT15" s="35"/>
      <c r="CU15" s="34">
        <f t="shared" si="2"/>
        <v>0</v>
      </c>
      <c r="CV15" s="34">
        <f t="shared" si="2"/>
        <v>0</v>
      </c>
    </row>
    <row r="16" spans="1:100" ht="15" customHeight="1">
      <c r="A16" s="1728"/>
      <c r="B16" s="294" t="s">
        <v>36</v>
      </c>
      <c r="C16" s="45">
        <f t="shared" si="3"/>
        <v>0</v>
      </c>
      <c r="D16" s="61"/>
      <c r="E16" s="61"/>
      <c r="F16" s="61"/>
      <c r="G16" s="61"/>
      <c r="H16" s="61"/>
      <c r="I16" s="61"/>
      <c r="J16" s="61"/>
      <c r="K16" s="61"/>
      <c r="L16" s="61"/>
      <c r="M16" s="61"/>
      <c r="N16" s="62"/>
      <c r="O16" s="62"/>
      <c r="P16" s="63"/>
      <c r="Q16" s="49"/>
      <c r="R16" s="64"/>
      <c r="S16" s="65"/>
      <c r="T16" s="309"/>
      <c r="U16" s="46"/>
      <c r="V16" s="66"/>
      <c r="W16" s="67"/>
      <c r="X16" s="67"/>
      <c r="Y16" s="31" t="str">
        <f t="shared" si="4"/>
        <v/>
      </c>
      <c r="Z16" s="5"/>
      <c r="AA16" s="5"/>
      <c r="AB16" s="5"/>
      <c r="AC16" s="6"/>
      <c r="BJ16" s="2"/>
      <c r="BK16" s="2"/>
      <c r="BL16" s="2"/>
      <c r="BM16" s="2"/>
      <c r="BN16" s="2"/>
      <c r="CA16" s="32" t="str">
        <f t="shared" si="5"/>
        <v/>
      </c>
      <c r="CB16" s="32" t="str">
        <f t="shared" si="6"/>
        <v/>
      </c>
      <c r="CC16" s="32" t="str">
        <f t="shared" si="7"/>
        <v/>
      </c>
      <c r="CD16" s="32" t="str">
        <f t="shared" si="8"/>
        <v/>
      </c>
      <c r="CE16" s="32" t="str">
        <f t="shared" si="0"/>
        <v/>
      </c>
      <c r="CF16" s="33"/>
      <c r="CG16" s="32" t="str">
        <f t="shared" si="1"/>
        <v/>
      </c>
      <c r="CH16" s="32" t="str">
        <f t="shared" si="9"/>
        <v/>
      </c>
      <c r="CO16" s="34">
        <f t="shared" si="10"/>
        <v>0</v>
      </c>
      <c r="CP16" s="34">
        <f t="shared" si="11"/>
        <v>0</v>
      </c>
      <c r="CQ16" s="34">
        <f t="shared" si="12"/>
        <v>0</v>
      </c>
      <c r="CR16" s="34">
        <f t="shared" si="13"/>
        <v>0</v>
      </c>
      <c r="CS16" s="34">
        <f t="shared" si="14"/>
        <v>0</v>
      </c>
      <c r="CT16" s="35"/>
      <c r="CU16" s="34">
        <f t="shared" si="2"/>
        <v>0</v>
      </c>
      <c r="CV16" s="34">
        <f t="shared" si="2"/>
        <v>0</v>
      </c>
    </row>
    <row r="17" spans="1:100" ht="21" customHeight="1">
      <c r="A17" s="1728"/>
      <c r="B17" s="295" t="s">
        <v>37</v>
      </c>
      <c r="C17" s="45">
        <f t="shared" si="3"/>
        <v>0</v>
      </c>
      <c r="D17" s="54"/>
      <c r="E17" s="54"/>
      <c r="F17" s="54"/>
      <c r="G17" s="54"/>
      <c r="H17" s="54"/>
      <c r="I17" s="54"/>
      <c r="J17" s="54"/>
      <c r="K17" s="54"/>
      <c r="L17" s="54"/>
      <c r="M17" s="54"/>
      <c r="N17" s="55"/>
      <c r="O17" s="55"/>
      <c r="P17" s="56"/>
      <c r="Q17" s="68"/>
      <c r="R17" s="57"/>
      <c r="S17" s="58"/>
      <c r="T17" s="308"/>
      <c r="U17" s="54"/>
      <c r="V17" s="59"/>
      <c r="W17" s="60"/>
      <c r="X17" s="60"/>
      <c r="Y17" s="31" t="str">
        <f t="shared" si="4"/>
        <v/>
      </c>
      <c r="Z17" s="5"/>
      <c r="AA17" s="5"/>
      <c r="AB17" s="5"/>
      <c r="AC17" s="6"/>
      <c r="BJ17" s="2"/>
      <c r="BK17" s="2"/>
      <c r="BL17" s="2"/>
      <c r="BM17" s="2"/>
      <c r="BN17" s="2"/>
      <c r="CA17" s="32" t="str">
        <f t="shared" si="5"/>
        <v/>
      </c>
      <c r="CB17" s="32" t="str">
        <f t="shared" si="6"/>
        <v/>
      </c>
      <c r="CC17" s="32" t="str">
        <f t="shared" si="7"/>
        <v/>
      </c>
      <c r="CD17" s="32" t="str">
        <f t="shared" si="8"/>
        <v/>
      </c>
      <c r="CE17" s="32" t="str">
        <f t="shared" si="0"/>
        <v/>
      </c>
      <c r="CF17" s="33"/>
      <c r="CG17" s="32" t="str">
        <f t="shared" si="1"/>
        <v/>
      </c>
      <c r="CH17" s="32" t="str">
        <f t="shared" si="9"/>
        <v/>
      </c>
      <c r="CO17" s="34">
        <f t="shared" si="10"/>
        <v>0</v>
      </c>
      <c r="CP17" s="34">
        <f t="shared" si="11"/>
        <v>0</v>
      </c>
      <c r="CQ17" s="34">
        <f t="shared" si="12"/>
        <v>0</v>
      </c>
      <c r="CR17" s="34">
        <f t="shared" si="13"/>
        <v>0</v>
      </c>
      <c r="CS17" s="34">
        <f t="shared" si="14"/>
        <v>0</v>
      </c>
      <c r="CT17" s="35"/>
      <c r="CU17" s="34">
        <f t="shared" si="2"/>
        <v>0</v>
      </c>
      <c r="CV17" s="34">
        <f t="shared" si="2"/>
        <v>0</v>
      </c>
    </row>
    <row r="18" spans="1:100" ht="21" customHeight="1">
      <c r="A18" s="1728"/>
      <c r="B18" s="295" t="s">
        <v>38</v>
      </c>
      <c r="C18" s="69">
        <f t="shared" si="3"/>
        <v>0</v>
      </c>
      <c r="D18" s="54"/>
      <c r="E18" s="54"/>
      <c r="F18" s="54"/>
      <c r="G18" s="54"/>
      <c r="H18" s="54"/>
      <c r="I18" s="54"/>
      <c r="J18" s="54"/>
      <c r="K18" s="54"/>
      <c r="L18" s="54"/>
      <c r="M18" s="54"/>
      <c r="N18" s="55"/>
      <c r="O18" s="55"/>
      <c r="P18" s="56"/>
      <c r="Q18" s="68"/>
      <c r="R18" s="57"/>
      <c r="S18" s="58"/>
      <c r="T18" s="308"/>
      <c r="U18" s="54"/>
      <c r="V18" s="59"/>
      <c r="W18" s="60"/>
      <c r="X18" s="60"/>
      <c r="Y18" s="31" t="str">
        <f t="shared" si="4"/>
        <v/>
      </c>
      <c r="Z18" s="5"/>
      <c r="AA18" s="5"/>
      <c r="AB18" s="5"/>
      <c r="AC18" s="6"/>
      <c r="BJ18" s="2"/>
      <c r="BK18" s="2"/>
      <c r="BL18" s="2"/>
      <c r="BM18" s="2"/>
      <c r="BN18" s="2"/>
      <c r="CA18" s="32" t="str">
        <f t="shared" si="5"/>
        <v/>
      </c>
      <c r="CB18" s="32" t="str">
        <f t="shared" si="6"/>
        <v/>
      </c>
      <c r="CC18" s="32" t="str">
        <f t="shared" si="7"/>
        <v/>
      </c>
      <c r="CD18" s="32" t="str">
        <f t="shared" si="8"/>
        <v/>
      </c>
      <c r="CE18" s="32" t="str">
        <f t="shared" si="0"/>
        <v/>
      </c>
      <c r="CF18" s="33"/>
      <c r="CG18" s="32" t="str">
        <f t="shared" si="1"/>
        <v/>
      </c>
      <c r="CH18" s="32" t="str">
        <f t="shared" si="9"/>
        <v/>
      </c>
      <c r="CO18" s="34">
        <f t="shared" si="10"/>
        <v>0</v>
      </c>
      <c r="CP18" s="34">
        <f t="shared" si="11"/>
        <v>0</v>
      </c>
      <c r="CQ18" s="34">
        <f t="shared" si="12"/>
        <v>0</v>
      </c>
      <c r="CR18" s="34">
        <f t="shared" si="13"/>
        <v>0</v>
      </c>
      <c r="CS18" s="34">
        <f t="shared" si="14"/>
        <v>0</v>
      </c>
      <c r="CT18" s="35"/>
      <c r="CU18" s="34">
        <f t="shared" si="2"/>
        <v>0</v>
      </c>
      <c r="CV18" s="34">
        <f t="shared" si="2"/>
        <v>0</v>
      </c>
    </row>
    <row r="19" spans="1:100" ht="15" customHeight="1">
      <c r="A19" s="1729"/>
      <c r="B19" s="296" t="s">
        <v>39</v>
      </c>
      <c r="C19" s="45">
        <f>SUM(D19:M19)</f>
        <v>0</v>
      </c>
      <c r="D19" s="70"/>
      <c r="E19" s="70"/>
      <c r="F19" s="70"/>
      <c r="G19" s="70"/>
      <c r="H19" s="70"/>
      <c r="I19" s="70"/>
      <c r="J19" s="70"/>
      <c r="K19" s="70"/>
      <c r="L19" s="70"/>
      <c r="M19" s="70"/>
      <c r="N19" s="71"/>
      <c r="O19" s="71"/>
      <c r="P19" s="72"/>
      <c r="Q19" s="73"/>
      <c r="R19" s="74"/>
      <c r="S19" s="75"/>
      <c r="T19" s="310"/>
      <c r="U19" s="70"/>
      <c r="V19" s="76"/>
      <c r="W19" s="77"/>
      <c r="X19" s="77"/>
      <c r="Y19" s="31" t="str">
        <f t="shared" si="4"/>
        <v/>
      </c>
      <c r="Z19" s="5"/>
      <c r="AA19" s="5"/>
      <c r="AB19" s="5"/>
      <c r="AC19" s="6"/>
      <c r="BJ19" s="2"/>
      <c r="BK19" s="2"/>
      <c r="BL19" s="2"/>
      <c r="BM19" s="2"/>
      <c r="BN19" s="2"/>
      <c r="CA19" s="32" t="str">
        <f t="shared" si="5"/>
        <v/>
      </c>
      <c r="CB19" s="32" t="str">
        <f t="shared" si="6"/>
        <v/>
      </c>
      <c r="CC19" s="32" t="str">
        <f t="shared" si="7"/>
        <v/>
      </c>
      <c r="CD19" s="32" t="str">
        <f t="shared" si="8"/>
        <v/>
      </c>
      <c r="CE19" s="32" t="str">
        <f t="shared" si="0"/>
        <v/>
      </c>
      <c r="CF19" s="33"/>
      <c r="CG19" s="32" t="str">
        <f t="shared" si="1"/>
        <v/>
      </c>
      <c r="CH19" s="32" t="str">
        <f t="shared" si="9"/>
        <v/>
      </c>
      <c r="CO19" s="34">
        <f t="shared" si="10"/>
        <v>0</v>
      </c>
      <c r="CP19" s="34">
        <f t="shared" si="11"/>
        <v>0</v>
      </c>
      <c r="CQ19" s="34">
        <f t="shared" si="12"/>
        <v>0</v>
      </c>
      <c r="CR19" s="34">
        <f t="shared" si="13"/>
        <v>0</v>
      </c>
      <c r="CS19" s="34">
        <f t="shared" si="14"/>
        <v>0</v>
      </c>
      <c r="CT19" s="35"/>
      <c r="CU19" s="34">
        <f t="shared" si="2"/>
        <v>0</v>
      </c>
      <c r="CV19" s="34">
        <f t="shared" si="2"/>
        <v>0</v>
      </c>
    </row>
    <row r="20" spans="1:100" ht="15" customHeight="1">
      <c r="A20" s="1737" t="s">
        <v>40</v>
      </c>
      <c r="B20" s="297" t="s">
        <v>41</v>
      </c>
      <c r="C20" s="22">
        <f>SUM(D20:P20)</f>
        <v>0</v>
      </c>
      <c r="D20" s="23"/>
      <c r="E20" s="23"/>
      <c r="F20" s="23"/>
      <c r="G20" s="23"/>
      <c r="H20" s="23"/>
      <c r="I20" s="23"/>
      <c r="J20" s="23"/>
      <c r="K20" s="23"/>
      <c r="L20" s="23"/>
      <c r="M20" s="23"/>
      <c r="N20" s="47"/>
      <c r="O20" s="47"/>
      <c r="P20" s="48"/>
      <c r="Q20" s="26"/>
      <c r="R20" s="27"/>
      <c r="S20" s="28"/>
      <c r="T20" s="305"/>
      <c r="U20" s="23"/>
      <c r="V20" s="29"/>
      <c r="W20" s="30"/>
      <c r="X20" s="30"/>
      <c r="Y20" s="31" t="str">
        <f t="shared" si="4"/>
        <v/>
      </c>
      <c r="Z20" s="5"/>
      <c r="AA20" s="5"/>
      <c r="AB20" s="5"/>
      <c r="AC20" s="6"/>
      <c r="BJ20" s="2"/>
      <c r="BK20" s="2"/>
      <c r="BL20" s="2"/>
      <c r="BM20" s="2"/>
      <c r="BN20" s="2"/>
      <c r="CA20" s="32" t="str">
        <f t="shared" si="5"/>
        <v/>
      </c>
      <c r="CB20" s="32" t="str">
        <f t="shared" si="6"/>
        <v/>
      </c>
      <c r="CC20" s="32" t="str">
        <f t="shared" si="7"/>
        <v/>
      </c>
      <c r="CD20" s="32" t="str">
        <f t="shared" si="8"/>
        <v/>
      </c>
      <c r="CE20" s="32" t="str">
        <f t="shared" si="0"/>
        <v/>
      </c>
      <c r="CF20" s="33"/>
      <c r="CG20" s="32" t="str">
        <f t="shared" si="1"/>
        <v/>
      </c>
      <c r="CH20" s="32" t="str">
        <f t="shared" si="9"/>
        <v/>
      </c>
      <c r="CO20" s="34">
        <f t="shared" si="10"/>
        <v>0</v>
      </c>
      <c r="CP20" s="34">
        <f t="shared" si="11"/>
        <v>0</v>
      </c>
      <c r="CQ20" s="34">
        <f t="shared" si="12"/>
        <v>0</v>
      </c>
      <c r="CR20" s="34">
        <f t="shared" si="13"/>
        <v>0</v>
      </c>
      <c r="CS20" s="34">
        <f t="shared" si="14"/>
        <v>0</v>
      </c>
      <c r="CT20" s="35"/>
      <c r="CU20" s="34">
        <f t="shared" si="2"/>
        <v>0</v>
      </c>
      <c r="CV20" s="34">
        <f t="shared" si="2"/>
        <v>0</v>
      </c>
    </row>
    <row r="21" spans="1:100" ht="15" customHeight="1">
      <c r="A21" s="1738"/>
      <c r="B21" s="298" t="s">
        <v>42</v>
      </c>
      <c r="C21" s="36">
        <f>SUM(D21:P21)</f>
        <v>0</v>
      </c>
      <c r="D21" s="37"/>
      <c r="E21" s="37"/>
      <c r="F21" s="37"/>
      <c r="G21" s="37"/>
      <c r="H21" s="37"/>
      <c r="I21" s="37"/>
      <c r="J21" s="37"/>
      <c r="K21" s="37"/>
      <c r="L21" s="37"/>
      <c r="M21" s="37"/>
      <c r="N21" s="71"/>
      <c r="O21" s="71"/>
      <c r="P21" s="72"/>
      <c r="Q21" s="40"/>
      <c r="R21" s="41"/>
      <c r="S21" s="42"/>
      <c r="T21" s="306"/>
      <c r="U21" s="43"/>
      <c r="V21" s="37"/>
      <c r="W21" s="44"/>
      <c r="X21" s="44"/>
      <c r="Y21" s="31" t="str">
        <f t="shared" si="4"/>
        <v/>
      </c>
      <c r="Z21" s="5"/>
      <c r="AA21" s="5"/>
      <c r="AB21" s="5"/>
      <c r="AC21" s="6"/>
      <c r="BJ21" s="2"/>
      <c r="BK21" s="2"/>
      <c r="BL21" s="2"/>
      <c r="BM21" s="2"/>
      <c r="BN21" s="2"/>
      <c r="CA21" s="32" t="str">
        <f t="shared" si="5"/>
        <v/>
      </c>
      <c r="CB21" s="32" t="str">
        <f t="shared" si="6"/>
        <v/>
      </c>
      <c r="CC21" s="32" t="str">
        <f t="shared" si="7"/>
        <v/>
      </c>
      <c r="CD21" s="32" t="str">
        <f t="shared" si="8"/>
        <v/>
      </c>
      <c r="CE21" s="33"/>
      <c r="CF21" s="32" t="str">
        <f>IF(AND($C21&lt;&gt;0,V21=""),"* No olvide ingresar la variable "&amp;V$10&amp;""&amp;". Digite CERO si no tiene.",IF(V21&gt;$C21,"* El Número de Trans Femenino no puede superar el Total. ",""))</f>
        <v/>
      </c>
      <c r="CG21" s="32" t="str">
        <f t="shared" si="1"/>
        <v/>
      </c>
      <c r="CH21" s="32" t="str">
        <f t="shared" si="9"/>
        <v/>
      </c>
      <c r="CO21" s="34">
        <f t="shared" si="10"/>
        <v>0</v>
      </c>
      <c r="CP21" s="34">
        <f t="shared" si="11"/>
        <v>0</v>
      </c>
      <c r="CQ21" s="34">
        <f t="shared" si="12"/>
        <v>0</v>
      </c>
      <c r="CR21" s="34">
        <f>IF(AND($C21&lt;&gt;0,$T21=""),1,IF($T21&gt;$C21,1,0))</f>
        <v>0</v>
      </c>
      <c r="CS21" s="35"/>
      <c r="CT21" s="34">
        <f>IF(AND($C21&lt;&gt;0,V21=""),1,IF(V21&gt;$C21,1,0))</f>
        <v>0</v>
      </c>
      <c r="CU21" s="34">
        <f t="shared" si="2"/>
        <v>0</v>
      </c>
      <c r="CV21" s="34">
        <f t="shared" si="2"/>
        <v>0</v>
      </c>
    </row>
    <row r="22" spans="1:100" ht="15" customHeight="1">
      <c r="A22" s="1739" t="s">
        <v>43</v>
      </c>
      <c r="B22" s="299" t="s">
        <v>41</v>
      </c>
      <c r="C22" s="45">
        <f>SUM(D22:M22)</f>
        <v>0</v>
      </c>
      <c r="D22" s="46"/>
      <c r="E22" s="46"/>
      <c r="F22" s="46"/>
      <c r="G22" s="46"/>
      <c r="H22" s="46"/>
      <c r="I22" s="46"/>
      <c r="J22" s="46"/>
      <c r="K22" s="46"/>
      <c r="L22" s="46"/>
      <c r="M22" s="46"/>
      <c r="N22" s="47"/>
      <c r="O22" s="47"/>
      <c r="P22" s="48"/>
      <c r="Q22" s="49"/>
      <c r="R22" s="50"/>
      <c r="S22" s="51"/>
      <c r="T22" s="307"/>
      <c r="U22" s="46"/>
      <c r="V22" s="52"/>
      <c r="W22" s="53"/>
      <c r="X22" s="53"/>
      <c r="Y22" s="31" t="str">
        <f t="shared" si="4"/>
        <v/>
      </c>
      <c r="Z22" s="5"/>
      <c r="AA22" s="5"/>
      <c r="AB22" s="5"/>
      <c r="AC22" s="6"/>
      <c r="BJ22" s="2"/>
      <c r="BK22" s="2"/>
      <c r="BL22" s="2"/>
      <c r="BM22" s="2"/>
      <c r="BN22" s="2"/>
      <c r="CA22" s="32" t="str">
        <f t="shared" si="5"/>
        <v/>
      </c>
      <c r="CB22" s="32" t="str">
        <f t="shared" si="6"/>
        <v/>
      </c>
      <c r="CC22" s="32" t="str">
        <f t="shared" si="7"/>
        <v/>
      </c>
      <c r="CD22" s="32" t="str">
        <f t="shared" si="8"/>
        <v/>
      </c>
      <c r="CE22" s="32" t="str">
        <f>IF(AND($C22&lt;&gt;0,U22=""),"* No olvide ingresar la variable "&amp;U$10&amp;""&amp;". Digite CERO si no tiene.",IF(U22&gt;$C22,"* El Número de Trans masculino no puede superar el Total. ",""))</f>
        <v/>
      </c>
      <c r="CF22" s="33"/>
      <c r="CG22" s="32" t="str">
        <f t="shared" si="1"/>
        <v/>
      </c>
      <c r="CH22" s="32" t="str">
        <f t="shared" si="9"/>
        <v/>
      </c>
      <c r="CO22" s="34">
        <f t="shared" si="10"/>
        <v>0</v>
      </c>
      <c r="CP22" s="34">
        <f t="shared" si="11"/>
        <v>0</v>
      </c>
      <c r="CQ22" s="34">
        <f t="shared" si="12"/>
        <v>0</v>
      </c>
      <c r="CR22" s="34">
        <f t="shared" si="13"/>
        <v>0</v>
      </c>
      <c r="CS22" s="34">
        <f t="shared" si="14"/>
        <v>0</v>
      </c>
      <c r="CT22" s="35"/>
      <c r="CU22" s="34">
        <f t="shared" si="2"/>
        <v>0</v>
      </c>
      <c r="CV22" s="34">
        <f t="shared" si="2"/>
        <v>0</v>
      </c>
    </row>
    <row r="23" spans="1:100" ht="15" customHeight="1">
      <c r="A23" s="1740"/>
      <c r="B23" s="298" t="s">
        <v>42</v>
      </c>
      <c r="C23" s="78">
        <f>SUM(D23:M23)</f>
        <v>0</v>
      </c>
      <c r="D23" s="79"/>
      <c r="E23" s="79"/>
      <c r="F23" s="79"/>
      <c r="G23" s="79"/>
      <c r="H23" s="79"/>
      <c r="I23" s="79"/>
      <c r="J23" s="79"/>
      <c r="K23" s="79"/>
      <c r="L23" s="79"/>
      <c r="M23" s="79"/>
      <c r="N23" s="71"/>
      <c r="O23" s="71"/>
      <c r="P23" s="72"/>
      <c r="Q23" s="80"/>
      <c r="R23" s="81"/>
      <c r="S23" s="82"/>
      <c r="T23" s="309"/>
      <c r="U23" s="83"/>
      <c r="V23" s="79"/>
      <c r="W23" s="84"/>
      <c r="X23" s="84"/>
      <c r="Y23" s="31" t="str">
        <f t="shared" si="4"/>
        <v/>
      </c>
      <c r="Z23" s="5"/>
      <c r="AA23" s="5"/>
      <c r="AB23" s="5"/>
      <c r="AC23" s="6"/>
      <c r="BJ23" s="2"/>
      <c r="BK23" s="2"/>
      <c r="BL23" s="2"/>
      <c r="BM23" s="2"/>
      <c r="BN23" s="2"/>
      <c r="CA23" s="32" t="str">
        <f t="shared" si="5"/>
        <v/>
      </c>
      <c r="CB23" s="32" t="str">
        <f t="shared" si="6"/>
        <v/>
      </c>
      <c r="CC23" s="32" t="str">
        <f t="shared" si="7"/>
        <v/>
      </c>
      <c r="CD23" s="32" t="str">
        <f t="shared" si="8"/>
        <v/>
      </c>
      <c r="CE23" s="33"/>
      <c r="CF23" s="32" t="str">
        <f>IF(AND($C23&lt;&gt;0,V23=""),"* No olvide ingresar la variable "&amp;V$10&amp;""&amp;". Digite CERO si no tiene.",IF(V23&gt;$C23,"* El Número de Trans femenino no puede superar el Total. ",""))</f>
        <v/>
      </c>
      <c r="CG23" s="32" t="str">
        <f t="shared" si="1"/>
        <v/>
      </c>
      <c r="CH23" s="32" t="str">
        <f t="shared" si="9"/>
        <v/>
      </c>
      <c r="CO23" s="34">
        <f t="shared" si="10"/>
        <v>0</v>
      </c>
      <c r="CP23" s="34">
        <f t="shared" si="11"/>
        <v>0</v>
      </c>
      <c r="CQ23" s="34">
        <f t="shared" si="12"/>
        <v>0</v>
      </c>
      <c r="CR23" s="34">
        <f t="shared" si="13"/>
        <v>0</v>
      </c>
      <c r="CS23" s="35"/>
      <c r="CT23" s="34">
        <f>IF(AND($C23&lt;&gt;0,V23=""),1,IF(V23&gt;$C23,1,0))</f>
        <v>0</v>
      </c>
      <c r="CU23" s="34">
        <f t="shared" si="2"/>
        <v>0</v>
      </c>
      <c r="CV23" s="34">
        <f t="shared" si="2"/>
        <v>0</v>
      </c>
    </row>
    <row r="24" spans="1:100" ht="15" customHeight="1">
      <c r="A24" s="1741" t="s">
        <v>44</v>
      </c>
      <c r="B24" s="1742"/>
      <c r="C24" s="85">
        <f>SUM(D23:M23)</f>
        <v>0</v>
      </c>
      <c r="D24" s="70"/>
      <c r="E24" s="70"/>
      <c r="F24" s="70"/>
      <c r="G24" s="70"/>
      <c r="H24" s="70"/>
      <c r="I24" s="70"/>
      <c r="J24" s="70"/>
      <c r="K24" s="70"/>
      <c r="L24" s="70"/>
      <c r="M24" s="70"/>
      <c r="N24" s="86"/>
      <c r="O24" s="76"/>
      <c r="P24" s="87"/>
      <c r="Q24" s="73"/>
      <c r="R24" s="74"/>
      <c r="S24" s="75"/>
      <c r="T24" s="75"/>
      <c r="U24" s="70"/>
      <c r="V24" s="70"/>
      <c r="W24" s="75"/>
      <c r="X24" s="75"/>
      <c r="Y24" s="31" t="str">
        <f t="shared" si="4"/>
        <v/>
      </c>
      <c r="Z24" s="5"/>
      <c r="AA24" s="5"/>
      <c r="AB24" s="5"/>
      <c r="AC24" s="6"/>
      <c r="BJ24" s="2"/>
      <c r="BK24" s="2"/>
      <c r="BL24" s="2"/>
      <c r="BM24" s="2"/>
      <c r="BN24" s="2"/>
      <c r="CA24" s="32" t="str">
        <f t="shared" si="5"/>
        <v/>
      </c>
      <c r="CB24" s="32" t="str">
        <f t="shared" si="6"/>
        <v/>
      </c>
      <c r="CC24" s="32" t="str">
        <f t="shared" si="7"/>
        <v/>
      </c>
      <c r="CD24" s="32" t="str">
        <f t="shared" si="8"/>
        <v/>
      </c>
      <c r="CE24" s="32" t="str">
        <f>IF(AND($C24&lt;&gt;0,U24=""),"* No olvide ingresar la variable "&amp;U$10&amp;""&amp;". Digite CERO si no tiene.",IF(U24&gt;$C24,"* El Número de Trans masculino no puede superar el Total. ",""))</f>
        <v/>
      </c>
      <c r="CF24" s="32" t="str">
        <f>IF(AND($C24&lt;&gt;0,V24=""),"* No olvide ingresar la variable "&amp;V$10&amp;""&amp;". Digite CERO si no tiene.",IF(V24&gt;$C24,"* El Número de Trans femenino no puede superar el Total. ",""))</f>
        <v/>
      </c>
      <c r="CG24" s="32" t="str">
        <f t="shared" si="1"/>
        <v/>
      </c>
      <c r="CH24" s="32" t="str">
        <f t="shared" si="9"/>
        <v/>
      </c>
      <c r="CO24" s="34">
        <f t="shared" si="10"/>
        <v>0</v>
      </c>
      <c r="CP24" s="34">
        <f t="shared" si="11"/>
        <v>0</v>
      </c>
      <c r="CQ24" s="34">
        <f t="shared" si="12"/>
        <v>0</v>
      </c>
      <c r="CR24" s="34">
        <f t="shared" si="13"/>
        <v>0</v>
      </c>
      <c r="CS24" s="34">
        <f t="shared" si="14"/>
        <v>0</v>
      </c>
      <c r="CT24" s="34">
        <f>IF(AND($C24&lt;&gt;0,V24=""),1,IF(V24&gt;$C24,1,0))</f>
        <v>0</v>
      </c>
      <c r="CU24" s="34">
        <f t="shared" si="2"/>
        <v>0</v>
      </c>
      <c r="CV24" s="34">
        <f t="shared" si="2"/>
        <v>0</v>
      </c>
    </row>
    <row r="25" spans="1:100" ht="15" customHeight="1" thickBot="1">
      <c r="A25" s="1743" t="s">
        <v>45</v>
      </c>
      <c r="B25" s="1744"/>
      <c r="C25" s="88">
        <f>SUM(D25:P25)</f>
        <v>0</v>
      </c>
      <c r="D25" s="89">
        <f>SUM(D11:D24)</f>
        <v>0</v>
      </c>
      <c r="E25" s="90">
        <f t="shared" ref="E25:M25" si="15">SUM(E11:E24)</f>
        <v>0</v>
      </c>
      <c r="F25" s="90">
        <f t="shared" si="15"/>
        <v>0</v>
      </c>
      <c r="G25" s="90">
        <f t="shared" si="15"/>
        <v>0</v>
      </c>
      <c r="H25" s="90">
        <f t="shared" si="15"/>
        <v>0</v>
      </c>
      <c r="I25" s="90">
        <f t="shared" si="15"/>
        <v>0</v>
      </c>
      <c r="J25" s="90">
        <f t="shared" si="15"/>
        <v>0</v>
      </c>
      <c r="K25" s="90">
        <f t="shared" si="15"/>
        <v>0</v>
      </c>
      <c r="L25" s="90">
        <f t="shared" si="15"/>
        <v>0</v>
      </c>
      <c r="M25" s="90">
        <f t="shared" si="15"/>
        <v>0</v>
      </c>
      <c r="N25" s="91"/>
      <c r="O25" s="92"/>
      <c r="P25" s="93"/>
      <c r="Q25" s="94">
        <f t="shared" ref="Q25:V25" si="16">SUM(Q11:Q24)</f>
        <v>0</v>
      </c>
      <c r="R25" s="95">
        <f t="shared" si="16"/>
        <v>0</v>
      </c>
      <c r="S25" s="96">
        <f t="shared" si="16"/>
        <v>0</v>
      </c>
      <c r="T25" s="96">
        <f t="shared" si="16"/>
        <v>0</v>
      </c>
      <c r="U25" s="97">
        <f t="shared" si="16"/>
        <v>0</v>
      </c>
      <c r="V25" s="97">
        <f t="shared" si="16"/>
        <v>0</v>
      </c>
      <c r="W25" s="96">
        <f>SUM(W11:W24)</f>
        <v>0</v>
      </c>
      <c r="X25" s="96">
        <f t="shared" ref="X25" si="17">SUM(X11:X24)</f>
        <v>0</v>
      </c>
      <c r="Y25" s="31"/>
      <c r="Z25" s="5"/>
      <c r="AA25" s="5"/>
      <c r="AB25" s="5"/>
      <c r="AC25" s="6"/>
      <c r="BJ25" s="2"/>
      <c r="BK25" s="2"/>
      <c r="BL25" s="2"/>
      <c r="BM25" s="2"/>
      <c r="BN25" s="2"/>
      <c r="CA25" s="98"/>
      <c r="CB25" s="98"/>
      <c r="CC25" s="98"/>
      <c r="CD25" s="98"/>
      <c r="CE25" s="98"/>
      <c r="CF25" s="31"/>
      <c r="CG25" s="31"/>
      <c r="CH25" s="31"/>
    </row>
    <row r="26" spans="1:100" ht="15" customHeight="1" thickTop="1">
      <c r="A26" s="1734" t="s">
        <v>46</v>
      </c>
      <c r="B26" s="1735"/>
      <c r="C26" s="99">
        <f>SUM(D26:P26)</f>
        <v>0</v>
      </c>
      <c r="D26" s="100"/>
      <c r="E26" s="101"/>
      <c r="F26" s="101"/>
      <c r="G26" s="101"/>
      <c r="H26" s="101"/>
      <c r="I26" s="101"/>
      <c r="J26" s="101"/>
      <c r="K26" s="101"/>
      <c r="L26" s="102"/>
      <c r="M26" s="102"/>
      <c r="N26" s="38"/>
      <c r="O26" s="38"/>
      <c r="P26" s="39"/>
      <c r="Q26" s="40"/>
      <c r="R26" s="41"/>
      <c r="S26" s="42"/>
      <c r="T26" s="306"/>
      <c r="U26" s="37"/>
      <c r="V26" s="43"/>
      <c r="W26" s="44"/>
      <c r="X26" s="44"/>
      <c r="Y26" s="31" t="str">
        <f t="shared" si="4"/>
        <v/>
      </c>
      <c r="Z26" s="5"/>
      <c r="AA26" s="5"/>
      <c r="AB26" s="5"/>
      <c r="AC26" s="6"/>
      <c r="BJ26" s="2"/>
      <c r="BK26" s="2"/>
      <c r="BL26" s="2"/>
      <c r="BM26" s="2"/>
      <c r="BN26" s="2"/>
      <c r="CA26" s="32" t="str">
        <f>IF(AND($C26&lt;&gt;0,Q26=""),"* No olvide ingresar la variable "&amp;Q$9&amp;""&amp;". Digite CERO si no tiene.",IF(Q26&gt;$C26,"* El Número de Pueblos Originarios no puede superar el Total. ",""))</f>
        <v/>
      </c>
      <c r="CB26" s="32" t="str">
        <f>IF(AND($C26&gt;0,R26=""),"* No olvide ingresar la variable "&amp;R$9&amp;""&amp;" Menor de 20 años. Digite CERO si no tiene.",IF(R26&gt;$C26,"* El Número de Migrantes Menor de 20 años no puede superar el Total. ",""))</f>
        <v/>
      </c>
      <c r="CC26" s="32" t="str">
        <f>IF(AND($C26&gt;0,S26=""),"* No olvide ingresar la variable "&amp;R$9&amp;""&amp;" 20 años y más. Digite CERO si no tiene.",IF(S26&gt;$C26,"* El Número de Migrantes 20 años y más no puede superar el Total. ",""))</f>
        <v/>
      </c>
      <c r="CD26" s="32" t="str">
        <f>IF(AND($C26&lt;&gt;0,T26=""),"* No olvide ingresar la variable "&amp;T$9&amp;""&amp;". Digite CERO si no tiene.",IF(T26&gt;$C26,"* El Número de PV-VIH (personas viviendo con VIH) no puede superar el Total. ",""))</f>
        <v/>
      </c>
      <c r="CE26" s="32" t="str">
        <f>IF(AND($C26&lt;&gt;0,U26=""),"* No olvide ingresar la variable "&amp;U$10&amp;""&amp;". Digite CERO si no tiene.",IF(U26&gt;$C26,"* El Número de Trans masculino no puede superar el Total. ",""))</f>
        <v/>
      </c>
      <c r="CF26" s="33"/>
      <c r="CG26" s="32" t="str">
        <f t="shared" ref="CG26:CG31" si="18">IF(AND($C26&lt;&gt;0,W26=""),"* No olvide ingresar la variable "&amp;W$10&amp;""&amp;". Digite CERO si no tiene.",IF(W26&gt;$C26,"* El Número de No Binarie no puede superar el Total. ",""))</f>
        <v/>
      </c>
      <c r="CH26" s="32" t="str">
        <f t="shared" si="9"/>
        <v/>
      </c>
      <c r="CO26" s="34">
        <f t="shared" si="10"/>
        <v>0</v>
      </c>
      <c r="CP26" s="34">
        <f t="shared" si="11"/>
        <v>0</v>
      </c>
      <c r="CQ26" s="34">
        <f t="shared" si="12"/>
        <v>0</v>
      </c>
      <c r="CR26" s="34">
        <f t="shared" si="13"/>
        <v>0</v>
      </c>
      <c r="CS26" s="34">
        <f t="shared" si="14"/>
        <v>0</v>
      </c>
      <c r="CT26" s="35"/>
      <c r="CU26" s="34">
        <f t="shared" ref="CU26:CV30" si="19">IF(AND($C26&lt;&gt;0,W26=""),1,IF(W26&gt;$C26,1,0))</f>
        <v>0</v>
      </c>
      <c r="CV26" s="34">
        <f t="shared" si="19"/>
        <v>0</v>
      </c>
    </row>
    <row r="27" spans="1:100" ht="15" customHeight="1">
      <c r="A27" s="1728" t="s">
        <v>47</v>
      </c>
      <c r="B27" s="300" t="s">
        <v>48</v>
      </c>
      <c r="C27" s="45">
        <f>SUM(D27:M27)</f>
        <v>0</v>
      </c>
      <c r="D27" s="50"/>
      <c r="E27" s="103"/>
      <c r="F27" s="103"/>
      <c r="G27" s="103"/>
      <c r="H27" s="103"/>
      <c r="I27" s="103"/>
      <c r="J27" s="103"/>
      <c r="K27" s="103"/>
      <c r="L27" s="103"/>
      <c r="M27" s="103"/>
      <c r="N27" s="47"/>
      <c r="O27" s="47"/>
      <c r="P27" s="48"/>
      <c r="Q27" s="104"/>
      <c r="R27" s="105"/>
      <c r="S27" s="106"/>
      <c r="T27" s="311"/>
      <c r="U27" s="108"/>
      <c r="V27" s="109"/>
      <c r="W27" s="107"/>
      <c r="X27" s="107"/>
      <c r="Y27" s="31" t="str">
        <f t="shared" si="4"/>
        <v/>
      </c>
      <c r="Z27" s="5"/>
      <c r="AA27" s="5"/>
      <c r="AB27" s="5"/>
      <c r="AC27" s="6"/>
      <c r="BJ27" s="2"/>
      <c r="BK27" s="2"/>
      <c r="BL27" s="2"/>
      <c r="BM27" s="2"/>
      <c r="BN27" s="2"/>
      <c r="CA27" s="32" t="str">
        <f t="shared" ref="CA27:CA29" si="20">IF(AND($C27&lt;&gt;0,Q27=""),"* No olvide ingresar la variable "&amp;Q$9&amp;""&amp;". Digite CERO si no tiene.",IF(Q27&gt;$C27,"* El Número de Pueblos Originarios no puede superar el Total. ",""))</f>
        <v/>
      </c>
      <c r="CB27" s="32" t="str">
        <f t="shared" si="6"/>
        <v/>
      </c>
      <c r="CC27" s="32" t="str">
        <f t="shared" ref="CC27:CC31" si="21">IF(AND($C27&gt;0,S27=""),"* No olvide ingresar la variable "&amp;R$9&amp;""&amp;" 20 años y más. Digite CERO si no tiene.",IF(S27&gt;$C27,"* El Número de Migrantes 20 años y más no puede superar el Total. ",""))</f>
        <v/>
      </c>
      <c r="CD27" s="32" t="str">
        <f t="shared" ref="CD27:CD31" si="22">IF(AND($C27&lt;&gt;0,T27=""),"* No olvide ingresar la variable "&amp;T$9&amp;""&amp;". Digite CERO si no tiene.",IF(T27&gt;$C27,"* El Número de PV-VIH (personas viviendo con VIH) no puede superar el Total. ",""))</f>
        <v/>
      </c>
      <c r="CE27" s="32" t="str">
        <f t="shared" ref="CE27:CE31" si="23">IF(AND($C27&lt;&gt;0,U27=""),"* No olvide ingresar la variable "&amp;U$10&amp;""&amp;". Digite CERO si no tiene.",IF(U27&gt;$C27,"* El Número de Trans masculino no puede superar el Total. ",""))</f>
        <v/>
      </c>
      <c r="CF27" s="33"/>
      <c r="CG27" s="32" t="str">
        <f t="shared" si="18"/>
        <v/>
      </c>
      <c r="CH27" s="32" t="str">
        <f t="shared" si="9"/>
        <v/>
      </c>
      <c r="CO27" s="34">
        <f t="shared" si="10"/>
        <v>0</v>
      </c>
      <c r="CP27" s="34">
        <f t="shared" si="11"/>
        <v>0</v>
      </c>
      <c r="CQ27" s="34">
        <f t="shared" si="12"/>
        <v>0</v>
      </c>
      <c r="CR27" s="34">
        <f t="shared" si="13"/>
        <v>0</v>
      </c>
      <c r="CS27" s="34">
        <f>IF(AND($C27&lt;&gt;0,$U27=""),1,IF($U27&gt;$C27,1,0))</f>
        <v>0</v>
      </c>
      <c r="CT27" s="35"/>
      <c r="CU27" s="34">
        <f t="shared" si="19"/>
        <v>0</v>
      </c>
      <c r="CV27" s="34">
        <f t="shared" si="19"/>
        <v>0</v>
      </c>
    </row>
    <row r="28" spans="1:100" ht="15" customHeight="1">
      <c r="A28" s="1729"/>
      <c r="B28" s="301" t="s">
        <v>49</v>
      </c>
      <c r="C28" s="36">
        <f t="shared" ref="C28:C30" si="24">SUM(D28:M28)</f>
        <v>0</v>
      </c>
      <c r="D28" s="41"/>
      <c r="E28" s="110"/>
      <c r="F28" s="110"/>
      <c r="G28" s="110"/>
      <c r="H28" s="110"/>
      <c r="I28" s="110"/>
      <c r="J28" s="110"/>
      <c r="K28" s="110"/>
      <c r="L28" s="110"/>
      <c r="M28" s="110"/>
      <c r="N28" s="38"/>
      <c r="O28" s="38"/>
      <c r="P28" s="39"/>
      <c r="Q28" s="111"/>
      <c r="R28" s="112"/>
      <c r="S28" s="113"/>
      <c r="T28" s="312"/>
      <c r="U28" s="115"/>
      <c r="V28" s="116"/>
      <c r="W28" s="114"/>
      <c r="X28" s="114"/>
      <c r="Y28" s="31" t="str">
        <f t="shared" si="4"/>
        <v/>
      </c>
      <c r="Z28" s="5"/>
      <c r="AA28" s="5"/>
      <c r="AB28" s="5"/>
      <c r="AC28" s="6"/>
      <c r="BJ28" s="2"/>
      <c r="BK28" s="2"/>
      <c r="BL28" s="2"/>
      <c r="BM28" s="2"/>
      <c r="BN28" s="2"/>
      <c r="CA28" s="32" t="str">
        <f t="shared" si="20"/>
        <v/>
      </c>
      <c r="CB28" s="32" t="str">
        <f t="shared" si="6"/>
        <v/>
      </c>
      <c r="CC28" s="32" t="str">
        <f t="shared" si="21"/>
        <v/>
      </c>
      <c r="CD28" s="32" t="str">
        <f t="shared" si="22"/>
        <v/>
      </c>
      <c r="CE28" s="32" t="str">
        <f t="shared" si="23"/>
        <v/>
      </c>
      <c r="CF28" s="33"/>
      <c r="CG28" s="32" t="str">
        <f t="shared" si="18"/>
        <v/>
      </c>
      <c r="CH28" s="32" t="str">
        <f t="shared" si="9"/>
        <v/>
      </c>
      <c r="CO28" s="34">
        <f t="shared" si="10"/>
        <v>0</v>
      </c>
      <c r="CP28" s="34">
        <f t="shared" si="11"/>
        <v>0</v>
      </c>
      <c r="CQ28" s="34">
        <f t="shared" si="12"/>
        <v>0</v>
      </c>
      <c r="CR28" s="34">
        <f t="shared" si="13"/>
        <v>0</v>
      </c>
      <c r="CS28" s="34">
        <f t="shared" si="14"/>
        <v>0</v>
      </c>
      <c r="CT28" s="35"/>
      <c r="CU28" s="34">
        <f t="shared" si="19"/>
        <v>0</v>
      </c>
      <c r="CV28" s="34">
        <f t="shared" si="19"/>
        <v>0</v>
      </c>
    </row>
    <row r="29" spans="1:100" ht="15" customHeight="1">
      <c r="A29" s="1730" t="s">
        <v>50</v>
      </c>
      <c r="B29" s="302" t="s">
        <v>48</v>
      </c>
      <c r="C29" s="22">
        <f t="shared" si="24"/>
        <v>0</v>
      </c>
      <c r="D29" s="27"/>
      <c r="E29" s="117"/>
      <c r="F29" s="117"/>
      <c r="G29" s="117"/>
      <c r="H29" s="117"/>
      <c r="I29" s="117"/>
      <c r="J29" s="117"/>
      <c r="K29" s="117"/>
      <c r="L29" s="117"/>
      <c r="M29" s="117"/>
      <c r="N29" s="24"/>
      <c r="O29" s="24"/>
      <c r="P29" s="25"/>
      <c r="Q29" s="118"/>
      <c r="R29" s="119"/>
      <c r="S29" s="120"/>
      <c r="T29" s="313"/>
      <c r="U29" s="122"/>
      <c r="V29" s="123"/>
      <c r="W29" s="121"/>
      <c r="X29" s="121"/>
      <c r="Y29" s="31" t="str">
        <f t="shared" si="4"/>
        <v/>
      </c>
      <c r="Z29" s="5"/>
      <c r="AA29" s="5"/>
      <c r="AB29" s="5"/>
      <c r="AC29" s="6"/>
      <c r="BJ29" s="2"/>
      <c r="BK29" s="2"/>
      <c r="BL29" s="2"/>
      <c r="BM29" s="2"/>
      <c r="BN29" s="2"/>
      <c r="CA29" s="32" t="str">
        <f t="shared" si="20"/>
        <v/>
      </c>
      <c r="CB29" s="32" t="str">
        <f t="shared" si="6"/>
        <v/>
      </c>
      <c r="CC29" s="32" t="str">
        <f t="shared" si="21"/>
        <v/>
      </c>
      <c r="CD29" s="32" t="str">
        <f t="shared" si="22"/>
        <v/>
      </c>
      <c r="CE29" s="32" t="str">
        <f t="shared" si="23"/>
        <v/>
      </c>
      <c r="CF29" s="33"/>
      <c r="CG29" s="32" t="str">
        <f t="shared" si="18"/>
        <v/>
      </c>
      <c r="CH29" s="32" t="str">
        <f t="shared" si="9"/>
        <v/>
      </c>
      <c r="CO29" s="34">
        <f t="shared" si="10"/>
        <v>0</v>
      </c>
      <c r="CP29" s="34">
        <f t="shared" si="11"/>
        <v>0</v>
      </c>
      <c r="CQ29" s="34">
        <f t="shared" si="12"/>
        <v>0</v>
      </c>
      <c r="CR29" s="34">
        <f t="shared" si="13"/>
        <v>0</v>
      </c>
      <c r="CS29" s="34">
        <f t="shared" si="14"/>
        <v>0</v>
      </c>
      <c r="CT29" s="35"/>
      <c r="CU29" s="34">
        <f t="shared" si="19"/>
        <v>0</v>
      </c>
      <c r="CV29" s="34">
        <f t="shared" si="19"/>
        <v>0</v>
      </c>
    </row>
    <row r="30" spans="1:100" ht="15" customHeight="1">
      <c r="A30" s="1729"/>
      <c r="B30" s="301" t="s">
        <v>49</v>
      </c>
      <c r="C30" s="36">
        <f t="shared" si="24"/>
        <v>0</v>
      </c>
      <c r="D30" s="41"/>
      <c r="E30" s="110"/>
      <c r="F30" s="110"/>
      <c r="G30" s="110"/>
      <c r="H30" s="110"/>
      <c r="I30" s="110"/>
      <c r="J30" s="110"/>
      <c r="K30" s="110"/>
      <c r="L30" s="110"/>
      <c r="M30" s="110"/>
      <c r="N30" s="38"/>
      <c r="O30" s="38"/>
      <c r="P30" s="39"/>
      <c r="Q30" s="111"/>
      <c r="R30" s="112"/>
      <c r="S30" s="113"/>
      <c r="T30" s="312"/>
      <c r="U30" s="115"/>
      <c r="V30" s="116"/>
      <c r="W30" s="114"/>
      <c r="X30" s="114"/>
      <c r="Y30" s="31" t="str">
        <f t="shared" si="4"/>
        <v/>
      </c>
      <c r="Z30" s="5"/>
      <c r="AA30" s="5"/>
      <c r="AB30" s="5"/>
      <c r="AC30" s="6"/>
      <c r="BJ30" s="2"/>
      <c r="BK30" s="2"/>
      <c r="BL30" s="2"/>
      <c r="BM30" s="2"/>
      <c r="BN30" s="2"/>
      <c r="CA30" s="32" t="str">
        <f>IF(AND($C30&lt;&gt;0,Q30=""),"* No olvide ingresar la variable "&amp;Q$9&amp;""&amp;". Digite CERO si no tiene.",IF(Q30&gt;$C30,"* El Número de Pueblos Originarios no puede superar el Total. ",""))</f>
        <v/>
      </c>
      <c r="CB30" s="32" t="str">
        <f t="shared" si="6"/>
        <v/>
      </c>
      <c r="CC30" s="32" t="str">
        <f t="shared" si="21"/>
        <v/>
      </c>
      <c r="CD30" s="32" t="str">
        <f t="shared" si="22"/>
        <v/>
      </c>
      <c r="CE30" s="32" t="str">
        <f t="shared" si="23"/>
        <v/>
      </c>
      <c r="CF30" s="33"/>
      <c r="CG30" s="32" t="str">
        <f t="shared" si="18"/>
        <v/>
      </c>
      <c r="CH30" s="32" t="str">
        <f t="shared" si="9"/>
        <v/>
      </c>
      <c r="CO30" s="34">
        <f t="shared" si="10"/>
        <v>0</v>
      </c>
      <c r="CP30" s="34">
        <f t="shared" si="11"/>
        <v>0</v>
      </c>
      <c r="CQ30" s="34">
        <f t="shared" si="12"/>
        <v>0</v>
      </c>
      <c r="CR30" s="34">
        <f t="shared" si="13"/>
        <v>0</v>
      </c>
      <c r="CS30" s="34">
        <f t="shared" si="14"/>
        <v>0</v>
      </c>
      <c r="CT30" s="35"/>
      <c r="CU30" s="34">
        <f t="shared" si="19"/>
        <v>0</v>
      </c>
      <c r="CV30" s="34">
        <f t="shared" si="19"/>
        <v>0</v>
      </c>
    </row>
    <row r="31" spans="1:100" ht="15" customHeight="1">
      <c r="A31" s="1717" t="s">
        <v>51</v>
      </c>
      <c r="B31" s="1718"/>
      <c r="C31" s="124">
        <f>SUM(D31:M31)</f>
        <v>0</v>
      </c>
      <c r="D31" s="125"/>
      <c r="E31" s="126"/>
      <c r="F31" s="126"/>
      <c r="G31" s="126"/>
      <c r="H31" s="126"/>
      <c r="I31" s="126"/>
      <c r="J31" s="126"/>
      <c r="K31" s="126"/>
      <c r="L31" s="126"/>
      <c r="M31" s="126"/>
      <c r="N31" s="127"/>
      <c r="O31" s="127"/>
      <c r="P31" s="128"/>
      <c r="Q31" s="129"/>
      <c r="R31" s="125"/>
      <c r="S31" s="130"/>
      <c r="T31" s="314"/>
      <c r="U31" s="131"/>
      <c r="V31" s="132"/>
      <c r="W31" s="133"/>
      <c r="X31" s="133"/>
      <c r="Y31" s="31" t="str">
        <f t="shared" si="4"/>
        <v/>
      </c>
      <c r="Z31" s="5"/>
      <c r="AA31" s="5"/>
      <c r="AB31" s="5"/>
      <c r="AC31" s="6"/>
      <c r="BJ31" s="2"/>
      <c r="BK31" s="2"/>
      <c r="BL31" s="2"/>
      <c r="BM31" s="2"/>
      <c r="BN31" s="2"/>
      <c r="CA31" s="32" t="str">
        <f>IF(AND($C31&lt;&gt;0,Q31=""),"* No olvide ingresar la variable "&amp;Q$9&amp;""&amp;". Digite CERO si no tiene.",IF(Q31&gt;$C31,"* El Número de Pueblos Originarios no puede superar el Total. ",""))</f>
        <v/>
      </c>
      <c r="CB31" s="32" t="str">
        <f t="shared" si="6"/>
        <v/>
      </c>
      <c r="CC31" s="32" t="str">
        <f t="shared" si="21"/>
        <v/>
      </c>
      <c r="CD31" s="32" t="str">
        <f t="shared" si="22"/>
        <v/>
      </c>
      <c r="CE31" s="32" t="str">
        <f t="shared" si="23"/>
        <v/>
      </c>
      <c r="CF31" s="33"/>
      <c r="CG31" s="32" t="str">
        <f t="shared" si="18"/>
        <v/>
      </c>
      <c r="CH31" s="32" t="str">
        <f t="shared" si="9"/>
        <v/>
      </c>
    </row>
    <row r="32" spans="1:100" ht="17.149999999999999" customHeight="1">
      <c r="A32" s="1731" t="s">
        <v>52</v>
      </c>
      <c r="B32" s="1676"/>
      <c r="C32" s="1676"/>
      <c r="D32" s="1676"/>
      <c r="E32" s="1676"/>
      <c r="F32" s="1676"/>
      <c r="G32" s="1676"/>
      <c r="H32" s="1676"/>
      <c r="I32" s="1676"/>
      <c r="J32" s="1676"/>
      <c r="K32" s="1676"/>
      <c r="L32" s="1676"/>
      <c r="M32" s="1676"/>
      <c r="N32" s="134"/>
      <c r="O32" s="134"/>
      <c r="P32" s="134"/>
      <c r="Q32" s="134"/>
      <c r="R32" s="134"/>
      <c r="S32" s="134"/>
      <c r="Y32" s="5"/>
    </row>
    <row r="33" spans="1:100" ht="15" customHeight="1">
      <c r="A33" s="1692" t="s">
        <v>4</v>
      </c>
      <c r="B33" s="1693"/>
      <c r="C33" s="1713" t="s">
        <v>5</v>
      </c>
      <c r="D33" s="1732" t="s">
        <v>6</v>
      </c>
      <c r="E33" s="1699"/>
      <c r="F33" s="1699"/>
      <c r="G33" s="1699"/>
      <c r="H33" s="1699"/>
      <c r="I33" s="1699"/>
      <c r="J33" s="1699"/>
      <c r="K33" s="1699"/>
      <c r="L33" s="1699"/>
      <c r="M33" s="1699"/>
      <c r="N33" s="1699"/>
      <c r="O33" s="1699"/>
      <c r="P33" s="1733"/>
      <c r="Q33" s="1708" t="s">
        <v>7</v>
      </c>
      <c r="R33" s="1721" t="s">
        <v>149</v>
      </c>
      <c r="S33" s="1722"/>
      <c r="T33" s="1723" t="s">
        <v>9</v>
      </c>
      <c r="U33" s="1725" t="s">
        <v>843</v>
      </c>
      <c r="V33" s="1726"/>
      <c r="W33" s="1727"/>
      <c r="X33" s="1704" t="s">
        <v>11</v>
      </c>
      <c r="Y33" s="5"/>
      <c r="BJ33" s="2"/>
    </row>
    <row r="34" spans="1:100" ht="24" customHeight="1">
      <c r="A34" s="1694"/>
      <c r="B34" s="1695"/>
      <c r="C34" s="1714"/>
      <c r="D34" s="135" t="s">
        <v>12</v>
      </c>
      <c r="E34" s="10" t="s">
        <v>13</v>
      </c>
      <c r="F34" s="10" t="s">
        <v>14</v>
      </c>
      <c r="G34" s="11" t="s">
        <v>15</v>
      </c>
      <c r="H34" s="11" t="s">
        <v>16</v>
      </c>
      <c r="I34" s="11" t="s">
        <v>17</v>
      </c>
      <c r="J34" s="11" t="s">
        <v>18</v>
      </c>
      <c r="K34" s="11" t="s">
        <v>19</v>
      </c>
      <c r="L34" s="11" t="s">
        <v>20</v>
      </c>
      <c r="M34" s="136" t="s">
        <v>21</v>
      </c>
      <c r="N34" s="11" t="s">
        <v>22</v>
      </c>
      <c r="O34" s="11" t="s">
        <v>23</v>
      </c>
      <c r="P34" s="137" t="s">
        <v>24</v>
      </c>
      <c r="Q34" s="1709"/>
      <c r="R34" s="15" t="s">
        <v>25</v>
      </c>
      <c r="S34" s="16" t="s">
        <v>26</v>
      </c>
      <c r="T34" s="1724"/>
      <c r="U34" s="138" t="s">
        <v>27</v>
      </c>
      <c r="V34" s="18" t="s">
        <v>28</v>
      </c>
      <c r="W34" s="139" t="s">
        <v>29</v>
      </c>
      <c r="X34" s="1704"/>
      <c r="Y34" s="5"/>
      <c r="BJ34" s="2"/>
    </row>
    <row r="35" spans="1:100" ht="15" customHeight="1">
      <c r="A35" s="1677" t="s">
        <v>53</v>
      </c>
      <c r="B35" s="293" t="s">
        <v>41</v>
      </c>
      <c r="C35" s="22">
        <f>SUM(D35:P35)</f>
        <v>0</v>
      </c>
      <c r="D35" s="27"/>
      <c r="E35" s="117"/>
      <c r="F35" s="117"/>
      <c r="G35" s="117"/>
      <c r="H35" s="117"/>
      <c r="I35" s="117"/>
      <c r="J35" s="117"/>
      <c r="K35" s="117"/>
      <c r="L35" s="117"/>
      <c r="M35" s="117"/>
      <c r="N35" s="117"/>
      <c r="O35" s="117"/>
      <c r="P35" s="140"/>
      <c r="Q35" s="26"/>
      <c r="R35" s="27"/>
      <c r="S35" s="30"/>
      <c r="T35" s="305"/>
      <c r="U35" s="27"/>
      <c r="V35" s="24"/>
      <c r="W35" s="30"/>
      <c r="X35" s="141"/>
      <c r="Y35" s="5" t="str">
        <f>$CA35&amp;CB35&amp;CC35&amp;CD35&amp;CE35&amp;CF35&amp;CG35&amp;CH35</f>
        <v/>
      </c>
      <c r="BJ35" s="2"/>
      <c r="CA35" s="142" t="str">
        <f>IF(AND($C35&lt;&gt;0,Q35=""),"* No olvide ingresar la variable "&amp;Q$33&amp;""&amp;". Digite CERO si no tiene.",IF(Q35&gt;$C35,"* El Número de Pueblos Originarios no puede superar el Total. ",""))</f>
        <v/>
      </c>
      <c r="CB35" s="142" t="str">
        <f>IF(AND($D35+$E35&gt;0,R35=""),"* No olvide ingresar la variable "&amp;R$33&amp;""&amp;" Menor de 20 años. Digite CERO si no tiene.",IF(R35&gt;$D35+E35,"* El Número de Migrantes Menor de 20 años. no puede superar la suma de los rangos de edad menor de 15 años +15 a 19 años. ",""))</f>
        <v/>
      </c>
      <c r="CC35" s="142" t="str">
        <f>IF(AND($F35+G35+H35+I35+J35+K35+L35+M35+N35+O35+P35&lt;&gt;0,S35=""),"* No olvide ingresar la variable "&amp;R$33&amp;""&amp;" 20 años y más. Digite CERO si no tiene.",IF(S35&gt;$F35+G35+H35+I35+J35+K35+L35+M35+N35+O35+P35,"* El Número de Migrantes 20 años y más. no puede superar La suma de los rangos de 20 años y más. ",""))</f>
        <v/>
      </c>
      <c r="CD35" s="142" t="str">
        <f t="shared" ref="CD35:CD40" si="25">IF(AND($C35&lt;&gt;0,T35=""),"* No olvide ingresar la variable "&amp;T$33&amp;""&amp;". Digite CERO si no tiene.",IF(T35&gt;$C35,"* El Número de PV-VIH (personas viviendo con VIH) no puede superar el Total. ",""))</f>
        <v/>
      </c>
      <c r="CE35" s="142" t="str">
        <f>IF(AND($C35&lt;&gt;0,U35=""),"* No olvide ingresar la variable "&amp;U$34&amp;""&amp;". Digite CERO si no tiene.",IF(U35&gt;$C35,"* El Número de Trans masculino no puede superar el Total. ",""))</f>
        <v/>
      </c>
      <c r="CF35" s="35"/>
      <c r="CG35" s="142" t="str">
        <f t="shared" ref="CG35:CG40" si="26">IF(AND($C35&lt;&gt;0,W35=""),"* No olvide ingresar la variable "&amp;W$10&amp;""&amp;". Digite CERO si no tiene.",IF(W35&gt;$C35,"* El Número de No Binarie no puede superar el Total. ",""))</f>
        <v/>
      </c>
      <c r="CH35" s="142" t="str">
        <f t="shared" ref="CH35:CH40" si="27">IF(AND($C35&lt;&gt;0,X35=""),"* No olvide ingresar la variable "&amp;X$33&amp;""&amp;". Digite CERO si no tiene.",IF(X35&gt;$C35,"* El Número de Personas con discapacidad no puede superar el Total. ",""))</f>
        <v/>
      </c>
      <c r="CO35" s="34">
        <f>IF(AND($C35&lt;&gt;0,$Q35=""),1,IF($Q35&gt;$C35,1,0))</f>
        <v>0</v>
      </c>
      <c r="CP35" s="34">
        <f>IF(AND($C35&lt;&gt;0,$R35=""),1,IF($R35&gt;$C35,1,0))</f>
        <v>0</v>
      </c>
      <c r="CQ35" s="34">
        <f>IF(AND($C35&lt;&gt;0,$S35=""),1,IF($S35&gt;$C35,1,0))</f>
        <v>0</v>
      </c>
      <c r="CR35" s="34">
        <f>IF(AND($C35&lt;&gt;0,$T35=""),1,IF($T35&gt;$C35,1,0))</f>
        <v>0</v>
      </c>
      <c r="CS35" s="34">
        <f>IF(AND($C35&lt;&gt;0,$U35=""),1,IF($U35&gt;$C35,1,0))</f>
        <v>0</v>
      </c>
      <c r="CT35" s="35"/>
      <c r="CU35" s="34">
        <f t="shared" ref="CU35:CV40" si="28">IF(AND($C35&lt;&gt;0,W35=""),1,IF(W35&gt;$C35,1,0))</f>
        <v>0</v>
      </c>
      <c r="CV35" s="34">
        <f t="shared" si="28"/>
        <v>0</v>
      </c>
    </row>
    <row r="36" spans="1:100" ht="15" customHeight="1">
      <c r="A36" s="1678"/>
      <c r="B36" s="303" t="s">
        <v>42</v>
      </c>
      <c r="C36" s="85">
        <f>SUM(D36:P36)</f>
        <v>0</v>
      </c>
      <c r="D36" s="74"/>
      <c r="E36" s="143"/>
      <c r="F36" s="143"/>
      <c r="G36" s="143"/>
      <c r="H36" s="143"/>
      <c r="I36" s="143"/>
      <c r="J36" s="143"/>
      <c r="K36" s="143"/>
      <c r="L36" s="143"/>
      <c r="M36" s="143"/>
      <c r="N36" s="143"/>
      <c r="O36" s="143"/>
      <c r="P36" s="144"/>
      <c r="Q36" s="73"/>
      <c r="R36" s="74"/>
      <c r="S36" s="77"/>
      <c r="T36" s="310"/>
      <c r="U36" s="145"/>
      <c r="V36" s="143"/>
      <c r="W36" s="77"/>
      <c r="X36" s="146"/>
      <c r="Y36" s="5" t="str">
        <f>$CA36&amp;CB36&amp;CD36&amp;CE36&amp;CF36&amp;CG36&amp;CH36</f>
        <v/>
      </c>
      <c r="BJ36" s="2"/>
      <c r="CA36" s="142" t="str">
        <f t="shared" ref="CA36:CA40" si="29">IF(AND($C36&lt;&gt;0,Q36=""),"* No olvide ingresar la variable "&amp;Q$33&amp;""&amp;". Digite CERO si no tiene.",IF(Q36&gt;$C36,"* El Número de Pueblos Originarios no puede superar el Total. ",""))</f>
        <v/>
      </c>
      <c r="CB36" s="142" t="str">
        <f t="shared" ref="CB36:CB40" si="30">IF(AND($C36&lt;&gt;0,R36=""),"* No olvide ingresar la variable "&amp;R$33&amp;""&amp;" Menor de 20 años. Digite CERO si no tiene.",IF(R36&gt;$C36,"* El Número de Migrantes Menor de 20 años. no puede superar el Total. ",""))</f>
        <v/>
      </c>
      <c r="CC36" s="142" t="str">
        <f t="shared" ref="CC36:CC40" si="31">IF(AND($C36&lt;&gt;0,S36=""),"* No olvide ingresar la variable "&amp;R$33&amp;""&amp;" 20 años y más. Digite CERO si no tiene.",IF(S36&gt;$C36,"* El Número de Migrantes 20 años y más. no puede superar el Total. ",""))</f>
        <v/>
      </c>
      <c r="CD36" s="142" t="str">
        <f t="shared" si="25"/>
        <v/>
      </c>
      <c r="CE36" s="35"/>
      <c r="CF36" s="142" t="str">
        <f>IF(AND($C36&lt;&gt;0,V36=""),"* No olvide ingresar la variable "&amp;V$34&amp;""&amp;". Digite CERO si no tiene.",IF(V36&gt;$C36,"* El Número de Trans femenino no puede superar el Total. ",""))</f>
        <v/>
      </c>
      <c r="CG36" s="142" t="str">
        <f t="shared" si="26"/>
        <v/>
      </c>
      <c r="CH36" s="142" t="str">
        <f t="shared" si="27"/>
        <v/>
      </c>
      <c r="CO36" s="34">
        <f t="shared" ref="CO36:CO40" si="32">IF(AND($C36&lt;&gt;0,$Q36=""),1,IF($Q36&gt;$C36,1,0))</f>
        <v>0</v>
      </c>
      <c r="CP36" s="34">
        <f t="shared" ref="CP36:CP40" si="33">IF(AND($C36&lt;&gt;0,$R36=""),1,IF($R36&gt;$C36,1,0))</f>
        <v>0</v>
      </c>
      <c r="CQ36" s="34">
        <f t="shared" ref="CQ36:CQ40" si="34">IF(AND($C36&lt;&gt;0,$S36=""),1,IF($S36&gt;$C36,1,0))</f>
        <v>0</v>
      </c>
      <c r="CR36" s="34">
        <f t="shared" ref="CR36:CR40" si="35">IF(AND($C36&lt;&gt;0,$T36=""),1,IF($T36&gt;$C36,1,0))</f>
        <v>0</v>
      </c>
      <c r="CS36" s="35"/>
      <c r="CT36" s="34">
        <f>IF(AND($C36&lt;&gt;0,V36=""),1,IF(V36&gt;$C36,1,0))</f>
        <v>0</v>
      </c>
      <c r="CU36" s="34">
        <f t="shared" si="28"/>
        <v>0</v>
      </c>
      <c r="CV36" s="34">
        <f t="shared" si="28"/>
        <v>0</v>
      </c>
    </row>
    <row r="37" spans="1:100" ht="15" customHeight="1">
      <c r="A37" s="1677" t="s">
        <v>54</v>
      </c>
      <c r="B37" s="293" t="s">
        <v>41</v>
      </c>
      <c r="C37" s="22">
        <f>SUM(D37:P37)</f>
        <v>0</v>
      </c>
      <c r="D37" s="27"/>
      <c r="E37" s="117"/>
      <c r="F37" s="117"/>
      <c r="G37" s="117"/>
      <c r="H37" s="117"/>
      <c r="I37" s="117"/>
      <c r="J37" s="117"/>
      <c r="K37" s="117"/>
      <c r="L37" s="117"/>
      <c r="M37" s="117"/>
      <c r="N37" s="117"/>
      <c r="O37" s="117"/>
      <c r="P37" s="140"/>
      <c r="Q37" s="26"/>
      <c r="R37" s="27"/>
      <c r="S37" s="30"/>
      <c r="T37" s="305"/>
      <c r="U37" s="27"/>
      <c r="V37" s="24"/>
      <c r="W37" s="30"/>
      <c r="X37" s="141"/>
      <c r="Y37" s="5" t="str">
        <f>$CA37&amp;CB37&amp;CD37&amp;CE37&amp;CF37&amp;CG37&amp;CH37</f>
        <v/>
      </c>
      <c r="BJ37" s="2"/>
      <c r="CA37" s="142" t="str">
        <f t="shared" si="29"/>
        <v/>
      </c>
      <c r="CB37" s="142" t="str">
        <f t="shared" si="30"/>
        <v/>
      </c>
      <c r="CC37" s="142" t="str">
        <f t="shared" si="31"/>
        <v/>
      </c>
      <c r="CD37" s="142" t="str">
        <f t="shared" si="25"/>
        <v/>
      </c>
      <c r="CE37" s="142" t="str">
        <f>IF(AND($C37&lt;&gt;0,U37=""),"* No olvide ingresar la variable "&amp;U$34&amp;""&amp;". Digite CERO si no tiene.",IF(U37&gt;$C37,"* El Número de Trans masculino no puede superar el Total. ",""))</f>
        <v/>
      </c>
      <c r="CF37" s="35"/>
      <c r="CG37" s="142" t="str">
        <f t="shared" si="26"/>
        <v/>
      </c>
      <c r="CH37" s="142" t="str">
        <f t="shared" si="27"/>
        <v/>
      </c>
      <c r="CO37" s="34">
        <f t="shared" si="32"/>
        <v>0</v>
      </c>
      <c r="CP37" s="34">
        <f t="shared" si="33"/>
        <v>0</v>
      </c>
      <c r="CQ37" s="34">
        <f t="shared" si="34"/>
        <v>0</v>
      </c>
      <c r="CR37" s="34">
        <f t="shared" si="35"/>
        <v>0</v>
      </c>
      <c r="CS37" s="34">
        <f t="shared" ref="CS37:CS40" si="36">IF(AND($C37&lt;&gt;0,$U37=""),1,IF($U37&gt;$C37,1,0))</f>
        <v>0</v>
      </c>
      <c r="CT37" s="35"/>
      <c r="CU37" s="34">
        <f t="shared" si="28"/>
        <v>0</v>
      </c>
      <c r="CV37" s="34">
        <f t="shared" si="28"/>
        <v>0</v>
      </c>
    </row>
    <row r="38" spans="1:100" ht="15" customHeight="1">
      <c r="A38" s="1678"/>
      <c r="B38" s="304" t="s">
        <v>42</v>
      </c>
      <c r="C38" s="36">
        <f>SUM(D38:P38)</f>
        <v>0</v>
      </c>
      <c r="D38" s="41"/>
      <c r="E38" s="110"/>
      <c r="F38" s="110"/>
      <c r="G38" s="110"/>
      <c r="H38" s="110"/>
      <c r="I38" s="110"/>
      <c r="J38" s="110"/>
      <c r="K38" s="110"/>
      <c r="L38" s="110"/>
      <c r="M38" s="110"/>
      <c r="N38" s="110"/>
      <c r="O38" s="110"/>
      <c r="P38" s="147"/>
      <c r="Q38" s="40"/>
      <c r="R38" s="41"/>
      <c r="S38" s="44"/>
      <c r="T38" s="306"/>
      <c r="U38" s="148"/>
      <c r="V38" s="110"/>
      <c r="W38" s="44"/>
      <c r="X38" s="149"/>
      <c r="Y38" s="5" t="str">
        <f>$CA38&amp;CB38&amp;CD38&amp;CE38&amp;CF38&amp;CG38&amp;CH38</f>
        <v/>
      </c>
      <c r="BJ38" s="2"/>
      <c r="CA38" s="142" t="str">
        <f t="shared" si="29"/>
        <v/>
      </c>
      <c r="CB38" s="142" t="str">
        <f t="shared" si="30"/>
        <v/>
      </c>
      <c r="CC38" s="142" t="str">
        <f t="shared" si="31"/>
        <v/>
      </c>
      <c r="CD38" s="142" t="str">
        <f t="shared" si="25"/>
        <v/>
      </c>
      <c r="CE38" s="35"/>
      <c r="CF38" s="142" t="str">
        <f>IF(AND($C38&lt;&gt;0,V38=""),"* No olvide ingresar la variable "&amp;V$34&amp;""&amp;". Digite CERO si no tiene.",IF(V38&gt;$C38,"* El Número de Trans femenino no puede superar el Total. ",""))</f>
        <v/>
      </c>
      <c r="CG38" s="142" t="str">
        <f t="shared" si="26"/>
        <v/>
      </c>
      <c r="CH38" s="142" t="str">
        <f t="shared" si="27"/>
        <v/>
      </c>
      <c r="CO38" s="34">
        <f t="shared" si="32"/>
        <v>0</v>
      </c>
      <c r="CP38" s="34">
        <f t="shared" si="33"/>
        <v>0</v>
      </c>
      <c r="CQ38" s="34">
        <f t="shared" si="34"/>
        <v>0</v>
      </c>
      <c r="CR38" s="34">
        <f t="shared" si="35"/>
        <v>0</v>
      </c>
      <c r="CS38" s="35"/>
      <c r="CT38" s="34">
        <f>IF(AND($C38&lt;&gt;0,V38=""),1,IF(V38&gt;$C38,1,0))</f>
        <v>0</v>
      </c>
      <c r="CU38" s="34">
        <f t="shared" si="28"/>
        <v>0</v>
      </c>
      <c r="CV38" s="34">
        <f t="shared" si="28"/>
        <v>0</v>
      </c>
    </row>
    <row r="39" spans="1:100" ht="15" customHeight="1">
      <c r="A39" s="1715" t="s">
        <v>144</v>
      </c>
      <c r="B39" s="1716"/>
      <c r="C39" s="36">
        <f>SUM(D39:P39)</f>
        <v>0</v>
      </c>
      <c r="D39" s="41"/>
      <c r="E39" s="110"/>
      <c r="F39" s="110"/>
      <c r="G39" s="110"/>
      <c r="H39" s="110"/>
      <c r="I39" s="110"/>
      <c r="J39" s="110"/>
      <c r="K39" s="110"/>
      <c r="L39" s="110"/>
      <c r="M39" s="110"/>
      <c r="N39" s="110"/>
      <c r="O39" s="110"/>
      <c r="P39" s="147"/>
      <c r="Q39" s="40"/>
      <c r="R39" s="41"/>
      <c r="S39" s="44"/>
      <c r="T39" s="306"/>
      <c r="U39" s="41"/>
      <c r="V39" s="38"/>
      <c r="W39" s="44"/>
      <c r="X39" s="149"/>
      <c r="Y39" s="5" t="str">
        <f>$CA39&amp;CB39&amp;CD39&amp;CE39&amp;CF39&amp;CG39&amp;CH39</f>
        <v/>
      </c>
      <c r="BJ39" s="2"/>
      <c r="CA39" s="142" t="str">
        <f t="shared" si="29"/>
        <v/>
      </c>
      <c r="CB39" s="142" t="str">
        <f t="shared" si="30"/>
        <v/>
      </c>
      <c r="CC39" s="142" t="str">
        <f t="shared" si="31"/>
        <v/>
      </c>
      <c r="CD39" s="142" t="str">
        <f t="shared" si="25"/>
        <v/>
      </c>
      <c r="CE39" s="142" t="str">
        <f>IF(AND($C39&lt;&gt;0,U39=""),"* No olvide ingresar la variable "&amp;U$34&amp;""&amp;". Digite CERO si no tiene.",IF(U39&gt;$C39,"* El Número de Trans masculino no puede superar el Total. ",""))</f>
        <v/>
      </c>
      <c r="CF39" s="35"/>
      <c r="CG39" s="142" t="str">
        <f t="shared" si="26"/>
        <v/>
      </c>
      <c r="CH39" s="142" t="str">
        <f t="shared" si="27"/>
        <v/>
      </c>
      <c r="CO39" s="34">
        <f t="shared" si="32"/>
        <v>0</v>
      </c>
      <c r="CP39" s="34">
        <f t="shared" si="33"/>
        <v>0</v>
      </c>
      <c r="CQ39" s="34">
        <f t="shared" si="34"/>
        <v>0</v>
      </c>
      <c r="CR39" s="34">
        <f t="shared" si="35"/>
        <v>0</v>
      </c>
      <c r="CS39" s="34">
        <f t="shared" si="36"/>
        <v>0</v>
      </c>
      <c r="CT39" s="35"/>
      <c r="CU39" s="34">
        <f t="shared" si="28"/>
        <v>0</v>
      </c>
      <c r="CV39" s="34">
        <f t="shared" si="28"/>
        <v>0</v>
      </c>
    </row>
    <row r="40" spans="1:100" ht="15" customHeight="1">
      <c r="A40" s="1717" t="s">
        <v>55</v>
      </c>
      <c r="B40" s="1718"/>
      <c r="C40" s="36">
        <f>SUM(D40:M40)</f>
        <v>0</v>
      </c>
      <c r="D40" s="41"/>
      <c r="E40" s="110"/>
      <c r="F40" s="110"/>
      <c r="G40" s="110"/>
      <c r="H40" s="110"/>
      <c r="I40" s="110"/>
      <c r="J40" s="110"/>
      <c r="K40" s="110"/>
      <c r="L40" s="110"/>
      <c r="M40" s="110"/>
      <c r="N40" s="38"/>
      <c r="O40" s="38"/>
      <c r="P40" s="150"/>
      <c r="Q40" s="111"/>
      <c r="R40" s="41"/>
      <c r="S40" s="44"/>
      <c r="T40" s="306"/>
      <c r="U40" s="112"/>
      <c r="V40" s="38"/>
      <c r="W40" s="44"/>
      <c r="X40" s="149"/>
      <c r="Y40" s="5" t="str">
        <f>$CA40&amp;CB40&amp;CD40&amp;CE40&amp;CF40&amp;CG40&amp;CH40</f>
        <v/>
      </c>
      <c r="BJ40" s="2"/>
      <c r="CA40" s="142" t="str">
        <f t="shared" si="29"/>
        <v/>
      </c>
      <c r="CB40" s="142" t="str">
        <f t="shared" si="30"/>
        <v/>
      </c>
      <c r="CC40" s="142" t="str">
        <f t="shared" si="31"/>
        <v/>
      </c>
      <c r="CD40" s="142" t="str">
        <f t="shared" si="25"/>
        <v/>
      </c>
      <c r="CE40" s="142" t="str">
        <f>IF(AND($C40&lt;&gt;0,U40=""),"* No olvide ingresar la variable "&amp;U$34&amp;""&amp;". Digite CERO si no tiene.",IF(U40&gt;$C40,"* El Número de Trans masculino no puede superar el Total. ",""))</f>
        <v/>
      </c>
      <c r="CF40" s="35"/>
      <c r="CG40" s="142" t="str">
        <f t="shared" si="26"/>
        <v/>
      </c>
      <c r="CH40" s="142" t="str">
        <f t="shared" si="27"/>
        <v/>
      </c>
      <c r="CO40" s="34">
        <f t="shared" si="32"/>
        <v>0</v>
      </c>
      <c r="CP40" s="34">
        <f t="shared" si="33"/>
        <v>0</v>
      </c>
      <c r="CQ40" s="34">
        <f t="shared" si="34"/>
        <v>0</v>
      </c>
      <c r="CR40" s="34">
        <f t="shared" si="35"/>
        <v>0</v>
      </c>
      <c r="CS40" s="34">
        <f t="shared" si="36"/>
        <v>0</v>
      </c>
      <c r="CT40" s="35"/>
      <c r="CU40" s="34">
        <f t="shared" si="28"/>
        <v>0</v>
      </c>
      <c r="CV40" s="34">
        <f t="shared" si="28"/>
        <v>0</v>
      </c>
    </row>
    <row r="41" spans="1:100" ht="17.149999999999999" customHeight="1">
      <c r="A41" s="151" t="s">
        <v>56</v>
      </c>
      <c r="B41" s="152"/>
      <c r="C41" s="152"/>
      <c r="D41" s="153"/>
      <c r="E41" s="153"/>
      <c r="F41" s="153"/>
      <c r="G41" s="7"/>
      <c r="H41" s="7"/>
    </row>
    <row r="42" spans="1:100" ht="15" customHeight="1">
      <c r="A42" s="1705" t="s">
        <v>57</v>
      </c>
      <c r="B42" s="1719" t="s">
        <v>145</v>
      </c>
      <c r="C42" s="1711" t="s">
        <v>146</v>
      </c>
      <c r="D42" s="1711" t="s">
        <v>861</v>
      </c>
      <c r="E42" s="1706" t="s">
        <v>147</v>
      </c>
      <c r="F42" s="1706" t="s">
        <v>148</v>
      </c>
      <c r="G42" s="1708" t="s">
        <v>7</v>
      </c>
      <c r="H42" s="1706" t="s">
        <v>149</v>
      </c>
      <c r="I42" s="1710" t="s">
        <v>10</v>
      </c>
      <c r="J42" s="1680"/>
      <c r="K42" s="1704" t="s">
        <v>11</v>
      </c>
      <c r="X42" s="5"/>
      <c r="Y42" s="5"/>
      <c r="Z42" s="5"/>
      <c r="AA42" s="5"/>
      <c r="AB42" s="5"/>
      <c r="AC42" s="6"/>
      <c r="BJ42" s="2"/>
      <c r="BK42" s="2"/>
      <c r="BL42" s="2"/>
      <c r="BM42" s="2"/>
      <c r="BN42" s="2"/>
      <c r="CA42" s="6"/>
      <c r="CB42" s="6"/>
      <c r="CC42" s="6"/>
      <c r="CD42" s="6"/>
      <c r="CE42" s="6"/>
    </row>
    <row r="43" spans="1:100" ht="21.75" customHeight="1">
      <c r="A43" s="1705"/>
      <c r="B43" s="1720"/>
      <c r="C43" s="1712"/>
      <c r="D43" s="1712"/>
      <c r="E43" s="1707"/>
      <c r="F43" s="1707"/>
      <c r="G43" s="1709"/>
      <c r="H43" s="1707"/>
      <c r="I43" s="154" t="s">
        <v>27</v>
      </c>
      <c r="J43" s="155" t="s">
        <v>29</v>
      </c>
      <c r="K43" s="1704"/>
      <c r="X43" s="5"/>
      <c r="Y43" s="5"/>
      <c r="Z43" s="5"/>
      <c r="AA43" s="5"/>
      <c r="AB43" s="5"/>
      <c r="AC43" s="6"/>
      <c r="BJ43" s="2"/>
      <c r="BK43" s="2"/>
      <c r="BL43" s="2"/>
      <c r="BM43" s="2"/>
      <c r="BN43" s="2"/>
      <c r="CA43" s="6"/>
      <c r="CB43" s="6"/>
      <c r="CC43" s="6"/>
      <c r="CD43" s="6"/>
      <c r="CE43" s="6"/>
    </row>
    <row r="44" spans="1:100" ht="15" customHeight="1">
      <c r="A44" s="156" t="s">
        <v>59</v>
      </c>
      <c r="B44" s="157"/>
      <c r="C44" s="158"/>
      <c r="D44" s="117"/>
      <c r="E44" s="117"/>
      <c r="F44" s="159"/>
      <c r="G44" s="158"/>
      <c r="H44" s="159"/>
      <c r="I44" s="158"/>
      <c r="J44" s="28"/>
      <c r="K44" s="28"/>
      <c r="L44" s="5" t="str">
        <f>($CA44&amp;$CB44&amp;$CC44&amp;$CD44&amp;$CE44&amp;$CF44&amp;CG44&amp;CH44&amp;CI44)</f>
        <v/>
      </c>
      <c r="X44" s="5"/>
      <c r="Y44" s="5"/>
      <c r="Z44" s="5"/>
      <c r="AA44" s="5"/>
      <c r="AB44" s="5"/>
      <c r="AC44" s="6"/>
      <c r="BJ44" s="2"/>
      <c r="BK44" s="2"/>
      <c r="BL44" s="2"/>
      <c r="BM44" s="2"/>
      <c r="BN44" s="2"/>
      <c r="CA44" s="142" t="str">
        <f>IF($B44&lt;$C44,"* Las Gestantes Menores de 15 años con Riesgo Psicosocial deben estar incluidas en el Total de Gestantes en Control misma edad. ","")</f>
        <v/>
      </c>
      <c r="CB44" s="142" t="str">
        <f>IF($C44&lt;$E44,"* Las Gestantes Menores de 15 años Que presentan Violencia de género deben estar incluidas en el grupo En Riesgo Psicosocial. ","")</f>
        <v/>
      </c>
      <c r="CC44" s="142" t="str">
        <f>IF($B44&lt;$D44,"* Las Gestantes Menores de 15 años Con 3  o más Riesgos Psicosocial deben estar incluidas en el Total de Gestantes en Control misma edad. ","")</f>
        <v/>
      </c>
      <c r="CD44" s="142" t="str">
        <f>IF($B44&lt;$F44,"* Las Gestantes que presentan ARO Menos de 15 años deben estar incluidas en el Total de Gestantes en Control mismo grupo de edad. ","")</f>
        <v/>
      </c>
      <c r="CE44" s="142" t="str">
        <f>IF(AND($B44&lt;&gt;0,G44=""),"* No olvide ingresar la variable "&amp;G$42&amp;""&amp;". Digite CERO si no tiene.",IF(G44&gt;$B44,"* La variable Pueblos originario no puede superar el Total de Gestantes en Control mismo grupo de edad. ",""))</f>
        <v/>
      </c>
      <c r="CF44" s="142" t="str">
        <f>IF(AND($B44&lt;&gt;0,H44=""),"* No olvide ingresar la variable "&amp;H$42&amp;""&amp;". Digite CERO si no tiene.",IF(H44&gt;$B44,"* La variable Migrantes no puede superar el Total de Gestantes en Control mismo grupo de edad. ",""))</f>
        <v/>
      </c>
      <c r="CG44" s="142" t="str">
        <f>IF(AND($B44&lt;&gt;0,I44=""),"* No olvide ingresar la variable "&amp;I$43&amp;""&amp;". Digite CERO si no tiene.",IF(I44&gt;$B44,"* La variable Trans masculino no puede superar el Total de Gestantes en Control mismo grupo de edad. ",""))</f>
        <v/>
      </c>
      <c r="CH44" s="142" t="str">
        <f t="shared" ref="CH44:CH52" si="37">IF(AND($B44&lt;&gt;0,J44=""),"* No olvide ingresar la variable "&amp;J$43&amp;""&amp;". Digite CERO si no tiene.",IF(J44&gt;$B44,"* La variable No Binarie no puede superar el Total de Gestantes en Control mismo grupo de edad. ",""))</f>
        <v/>
      </c>
      <c r="CI44" s="142" t="str">
        <f>IF(AND($B44&lt;&gt;0,K44=""),"* No olvide ingresar la variable "&amp;K$42&amp;""&amp;". Digite CERO si no tiene.",IF(K44&gt;$B44,"* La variable Personas con Discapacidad no puede superar el Total de Gestantes en Control mismo grupo de edad. ",""))</f>
        <v/>
      </c>
      <c r="CJ44" s="5" t="str">
        <f t="shared" ref="CJ44" si="38">IF(AND(B44&lt;&gt;0,H44=""),"* No olvide escribir en la celda de 'Población Migrantes' (Digite CERO si no tiene). ","")</f>
        <v/>
      </c>
      <c r="CN44" s="34">
        <f>IF($B44&lt;$C44,1,0)</f>
        <v>0</v>
      </c>
      <c r="CO44" s="34">
        <f>IF($C44&lt;$E44,1,0)</f>
        <v>0</v>
      </c>
      <c r="CP44" s="34">
        <f>IF($B44&lt;$D44,1,0)</f>
        <v>0</v>
      </c>
      <c r="CQ44" s="34">
        <f>IF($B44&lt;$F44,1,0)</f>
        <v>0</v>
      </c>
      <c r="CR44" s="34">
        <f>IF(AND($B44&lt;&gt;0,G44=""),1,IF(G44&gt;$B44,1,0))</f>
        <v>0</v>
      </c>
      <c r="CS44" s="34">
        <f>IF(AND($B44&lt;&gt;0,$H44=""),1,IF($H44&gt;$B44,1,0))</f>
        <v>0</v>
      </c>
      <c r="CT44" s="34">
        <f>IF(AND($B44&lt;&gt;0,$I44=""),1,IF($I44&gt;$B44,1,0))</f>
        <v>0</v>
      </c>
      <c r="CU44" s="34">
        <f>IF(AND($B44&lt;&gt;0,$J44=""),1,IF($J44&gt;$B44,1,0))</f>
        <v>0</v>
      </c>
      <c r="CV44" s="34">
        <f>IF(AND($B44&lt;&gt;0,$K44=""),1,IF($K44&gt;$B44,1,0))</f>
        <v>0</v>
      </c>
    </row>
    <row r="45" spans="1:100" ht="15" customHeight="1">
      <c r="A45" s="160" t="s">
        <v>13</v>
      </c>
      <c r="B45" s="161"/>
      <c r="C45" s="162"/>
      <c r="D45" s="163"/>
      <c r="E45" s="163"/>
      <c r="F45" s="164"/>
      <c r="G45" s="162"/>
      <c r="H45" s="164"/>
      <c r="I45" s="162"/>
      <c r="J45" s="58"/>
      <c r="K45" s="58"/>
      <c r="L45" s="5" t="str">
        <f t="shared" ref="L45:L51" si="39">($CA45&amp;$CB45&amp;$CC45&amp;$CD45&amp;$CE45&amp;$CF45&amp;CG45&amp;CH45&amp;CI45)</f>
        <v/>
      </c>
      <c r="X45" s="5"/>
      <c r="Y45" s="5"/>
      <c r="Z45" s="5"/>
      <c r="AA45" s="5"/>
      <c r="AB45" s="5"/>
      <c r="AC45" s="6"/>
      <c r="BJ45" s="2"/>
      <c r="BK45" s="2"/>
      <c r="BL45" s="2"/>
      <c r="BM45" s="2"/>
      <c r="BN45" s="2"/>
      <c r="CA45" s="142" t="str">
        <f>IF($B45&lt;$C45,"* Las Gestantes de 15 a 19 años En Riesgo Psicosocial deben estar incluidas en el Total de Gestantes en Control misma edad. ","")</f>
        <v/>
      </c>
      <c r="CB45" s="142" t="str">
        <f>IF($C45&lt;$E45,"* Las Gestantes de 15 a 19 años Que presentan Violencia de género deben estar incluidas en el grupo En Riesgo Psicosocial. ","")</f>
        <v/>
      </c>
      <c r="CC45" s="142" t="str">
        <f>IF($B45&lt;$D45,"* Las Gestantes de 15 a 19 años con 3 o más Riesgos Psicosocial deben estar incluidas en el Total de Gestantes en Control misma edad. ","")</f>
        <v/>
      </c>
      <c r="CD45" s="142" t="str">
        <f>IF($B45&lt;$F45,"* Las Gestantes que presentan ARO de 15 a 19 años deben estar incluidas en el Total de Gestantes en Control mismo grupo de edad. ","")</f>
        <v/>
      </c>
      <c r="CE45" s="142" t="str">
        <f t="shared" ref="CE45:CE52" si="40">IF(AND($B45&lt;&gt;0,G45=""),"* No olvide ingresar la variable "&amp;G$42&amp;""&amp;". Digite CERO si no tiene.",IF(G45&gt;$B45,"* La variable Pueblos originario no puede superar el Total de Gestantes en Control mismo grupo de edad. ",""))</f>
        <v/>
      </c>
      <c r="CF45" s="142" t="str">
        <f t="shared" ref="CF45:CF52" si="41">IF(AND($B45&lt;&gt;0,H45=""),"* No olvide ingresar la variable "&amp;H$42&amp;""&amp;". Digite CERO si no tiene.",IF(H45&gt;$B45,"* La variable Migrantes no puede superar el Total de Gestantes en Control mismo grupo de edad. ",""))</f>
        <v/>
      </c>
      <c r="CG45" s="142" t="str">
        <f t="shared" ref="CG45:CG52" si="42">IF(AND($B45&lt;&gt;0,I45=""),"* No olvide ingresar la variable "&amp;I$43&amp;""&amp;". Digite CERO si no tiene.",IF(I45&gt;$B45,"* La variable Trans masculino no puede superar el Total de Gestantes en Control mismo grupo de edad. ",""))</f>
        <v/>
      </c>
      <c r="CH45" s="142" t="str">
        <f t="shared" si="37"/>
        <v/>
      </c>
      <c r="CI45" s="142" t="str">
        <f t="shared" ref="CI45:CI52" si="43">IF(AND($B45&lt;&gt;0,K45=""),"* No olvide ingresar la variable "&amp;K$42&amp;""&amp;". Digite CERO si no tiene.",IF(K45&gt;$B45,"* La variable Personas con Discapacidad no puede superar el Total de Gestantes en Control mismo grupo de edad. ",""))</f>
        <v/>
      </c>
      <c r="CN45" s="34">
        <f t="shared" ref="CN45:CN52" si="44">IF($B45&lt;$C45,1,0)</f>
        <v>0</v>
      </c>
      <c r="CO45" s="34">
        <f t="shared" ref="CO45:CO52" si="45">IF($C45&lt;$E45,1,0)</f>
        <v>0</v>
      </c>
      <c r="CP45" s="34">
        <f t="shared" ref="CP45:CP52" si="46">IF($B45&lt;$D45,1,0)</f>
        <v>0</v>
      </c>
      <c r="CQ45" s="34">
        <f t="shared" ref="CQ45:CQ52" si="47">IF($B45&lt;$F45,1,0)</f>
        <v>0</v>
      </c>
      <c r="CR45" s="34">
        <f t="shared" ref="CR45:CR52" si="48">IF(AND($B45&lt;&gt;0,G45=""),1,IF(G45&gt;$B45,1,0))</f>
        <v>0</v>
      </c>
      <c r="CS45" s="34">
        <f t="shared" ref="CS45:CS52" si="49">IF(AND($B45&lt;&gt;0,$H45=""),1,IF($H45&gt;$B45,1,0))</f>
        <v>0</v>
      </c>
      <c r="CT45" s="34">
        <f t="shared" ref="CT45:CT52" si="50">IF(AND($B45&lt;&gt;0,$I45=""),1,IF($I45&gt;$B45,1,0))</f>
        <v>0</v>
      </c>
      <c r="CU45" s="34">
        <f t="shared" ref="CU45:CU52" si="51">IF(AND($B45&lt;&gt;0,$J45=""),1,IF($J45&gt;$B45,1,0))</f>
        <v>0</v>
      </c>
      <c r="CV45" s="34">
        <f t="shared" ref="CV45:CV52" si="52">IF(AND($B45&lt;&gt;0,$K45=""),1,IF($K45&gt;$B45,1,0))</f>
        <v>0</v>
      </c>
    </row>
    <row r="46" spans="1:100" ht="15" customHeight="1">
      <c r="A46" s="160" t="s">
        <v>14</v>
      </c>
      <c r="B46" s="161"/>
      <c r="C46" s="162"/>
      <c r="D46" s="163"/>
      <c r="E46" s="163"/>
      <c r="F46" s="164"/>
      <c r="G46" s="162"/>
      <c r="H46" s="164"/>
      <c r="I46" s="162"/>
      <c r="J46" s="58"/>
      <c r="K46" s="58"/>
      <c r="L46" s="5" t="str">
        <f t="shared" si="39"/>
        <v/>
      </c>
      <c r="X46" s="5"/>
      <c r="Y46" s="5"/>
      <c r="Z46" s="5"/>
      <c r="AA46" s="5"/>
      <c r="AB46" s="5"/>
      <c r="AC46" s="6"/>
      <c r="BJ46" s="2"/>
      <c r="BK46" s="2"/>
      <c r="BL46" s="2"/>
      <c r="BM46" s="2"/>
      <c r="BN46" s="2"/>
      <c r="CA46" s="142" t="str">
        <f>IF($B46&lt;$C46,"* Las Gestantes de 20 a 24 años con Riesgo Psicosocial deben estar incluidas en el Total de Gestantes en Control misma edad. ","")</f>
        <v/>
      </c>
      <c r="CB46" s="142" t="str">
        <f>IF($C46&lt;$E46,"* Las Gestantes de 20 a 24 años Que presentan Violencia de género deben estar incluidas en el grupo En Riesgo Psicosocial. ","")</f>
        <v/>
      </c>
      <c r="CC46" s="142" t="str">
        <f>IF($B46&lt;$D46,"* Las Gestantes de 20 a 24 años con 3 o más Riesgos Psicosocial deben estar incluidas en el Total de Gestantes en Control misma edad. ","")</f>
        <v/>
      </c>
      <c r="CD46" s="142" t="str">
        <f>IF($B46&lt;$F46,"* Las Gestantes que presentan ARO de 20 a 24 años deben estar incluidas en el Total de Gestantes en Control misma edad. ","")</f>
        <v/>
      </c>
      <c r="CE46" s="142" t="str">
        <f t="shared" si="40"/>
        <v/>
      </c>
      <c r="CF46" s="142" t="str">
        <f t="shared" si="41"/>
        <v/>
      </c>
      <c r="CG46" s="142" t="str">
        <f t="shared" si="42"/>
        <v/>
      </c>
      <c r="CH46" s="142" t="str">
        <f t="shared" si="37"/>
        <v/>
      </c>
      <c r="CI46" s="142" t="str">
        <f t="shared" si="43"/>
        <v/>
      </c>
      <c r="CN46" s="34">
        <f t="shared" si="44"/>
        <v>0</v>
      </c>
      <c r="CO46" s="34">
        <f t="shared" si="45"/>
        <v>0</v>
      </c>
      <c r="CP46" s="34">
        <f t="shared" si="46"/>
        <v>0</v>
      </c>
      <c r="CQ46" s="34">
        <f t="shared" si="47"/>
        <v>0</v>
      </c>
      <c r="CR46" s="34">
        <f t="shared" si="48"/>
        <v>0</v>
      </c>
      <c r="CS46" s="34">
        <f t="shared" si="49"/>
        <v>0</v>
      </c>
      <c r="CT46" s="34">
        <f t="shared" si="50"/>
        <v>0</v>
      </c>
      <c r="CU46" s="34">
        <f t="shared" si="51"/>
        <v>0</v>
      </c>
      <c r="CV46" s="34">
        <f t="shared" si="52"/>
        <v>0</v>
      </c>
    </row>
    <row r="47" spans="1:100" ht="15" customHeight="1">
      <c r="A47" s="160" t="s">
        <v>15</v>
      </c>
      <c r="B47" s="165"/>
      <c r="C47" s="166"/>
      <c r="D47" s="167"/>
      <c r="E47" s="167"/>
      <c r="F47" s="168"/>
      <c r="G47" s="166"/>
      <c r="H47" s="168"/>
      <c r="I47" s="166"/>
      <c r="J47" s="65"/>
      <c r="K47" s="65"/>
      <c r="L47" s="5" t="str">
        <f t="shared" si="39"/>
        <v/>
      </c>
      <c r="X47" s="5"/>
      <c r="Y47" s="5"/>
      <c r="Z47" s="5"/>
      <c r="AA47" s="5"/>
      <c r="AB47" s="5"/>
      <c r="AC47" s="6"/>
      <c r="BJ47" s="2"/>
      <c r="BK47" s="2"/>
      <c r="BL47" s="2"/>
      <c r="BM47" s="2"/>
      <c r="BN47" s="2"/>
      <c r="CA47" s="142" t="str">
        <f>IF($B47&lt;$C47,"* Las Gestantes de25 a 29 años con Riesgo Psicosocial deben estar incluidas en el Total de Gestantes en Control misma edad. ","")</f>
        <v/>
      </c>
      <c r="CB47" s="142" t="str">
        <f>IF($C47&lt;$E47,"* Las Gestantes de 25 a 29 años Que presentan Violencia de género deben estar incluidas en el grupo En Riesgo Psicosocial. ","")</f>
        <v/>
      </c>
      <c r="CC47" s="142" t="str">
        <f>IF($B47&lt;$D47,"* Las Gestantes de 25 a 29 años con 3 o más Riesgos Psicosocial deben estar incluidas en el Total de Gestantes en Control misma edad. ","")</f>
        <v/>
      </c>
      <c r="CD47" s="142" t="str">
        <f>IF($B47&lt;$F47,"* Las Gestantes que presentan ARO de 25 a 29 años deben estar incluidas en el Total de Gestantes en Control misma edad. ","")</f>
        <v/>
      </c>
      <c r="CE47" s="142" t="str">
        <f t="shared" si="40"/>
        <v/>
      </c>
      <c r="CF47" s="142" t="str">
        <f t="shared" si="41"/>
        <v/>
      </c>
      <c r="CG47" s="142" t="str">
        <f t="shared" si="42"/>
        <v/>
      </c>
      <c r="CH47" s="142" t="str">
        <f t="shared" si="37"/>
        <v/>
      </c>
      <c r="CI47" s="142" t="str">
        <f t="shared" si="43"/>
        <v/>
      </c>
      <c r="CN47" s="34">
        <f t="shared" si="44"/>
        <v>0</v>
      </c>
      <c r="CO47" s="34">
        <f t="shared" si="45"/>
        <v>0</v>
      </c>
      <c r="CP47" s="34">
        <f t="shared" si="46"/>
        <v>0</v>
      </c>
      <c r="CQ47" s="34">
        <f t="shared" si="47"/>
        <v>0</v>
      </c>
      <c r="CR47" s="34">
        <f t="shared" si="48"/>
        <v>0</v>
      </c>
      <c r="CS47" s="34">
        <f t="shared" si="49"/>
        <v>0</v>
      </c>
      <c r="CT47" s="34">
        <f t="shared" si="50"/>
        <v>0</v>
      </c>
      <c r="CU47" s="34">
        <f t="shared" si="51"/>
        <v>0</v>
      </c>
      <c r="CV47" s="34">
        <f t="shared" si="52"/>
        <v>0</v>
      </c>
    </row>
    <row r="48" spans="1:100" ht="15" customHeight="1">
      <c r="A48" s="160" t="s">
        <v>16</v>
      </c>
      <c r="B48" s="165"/>
      <c r="C48" s="166"/>
      <c r="D48" s="167"/>
      <c r="E48" s="167"/>
      <c r="F48" s="168"/>
      <c r="G48" s="166"/>
      <c r="H48" s="168"/>
      <c r="I48" s="166"/>
      <c r="J48" s="65"/>
      <c r="K48" s="65"/>
      <c r="L48" s="5" t="str">
        <f t="shared" si="39"/>
        <v/>
      </c>
      <c r="X48" s="5"/>
      <c r="Y48" s="5"/>
      <c r="Z48" s="5"/>
      <c r="AA48" s="5"/>
      <c r="AB48" s="5"/>
      <c r="AC48" s="6"/>
      <c r="BJ48" s="2"/>
      <c r="BK48" s="2"/>
      <c r="BL48" s="2"/>
      <c r="BM48" s="2"/>
      <c r="BN48" s="2"/>
      <c r="CA48" s="142" t="str">
        <f>IF($B48&lt;$C48,"* Las Gestantes de 30 a 34 años con Riesgo Psicosocial deben estar incluidas en el Total de Gestantes en Control misma edad. ","")</f>
        <v/>
      </c>
      <c r="CB48" s="142" t="str">
        <f>IF($C48&lt;$E48,"* Las Gestantes de 30 a 34 años Que presentan Violencia de género deben estar incluidas en el grupo En Riesgo Psicosocial. ","")</f>
        <v/>
      </c>
      <c r="CC48" s="142" t="str">
        <f>IF($B48&lt;$D48,"* Las Gestantes de 30 a 34 años con 3 o más Riesgos Psicosocial deben estar incluidas en el Total de Gestantes en Control misma edad. ","")</f>
        <v/>
      </c>
      <c r="CD48" s="142" t="str">
        <f>IF($B48&lt;$F48,"* Las Gestantes que presentan ARO de 30 a 34 años deben estar incluidas en el Total de Gestantes en Control misma edad. ","")</f>
        <v/>
      </c>
      <c r="CE48" s="142" t="str">
        <f t="shared" si="40"/>
        <v/>
      </c>
      <c r="CF48" s="142" t="str">
        <f t="shared" si="41"/>
        <v/>
      </c>
      <c r="CG48" s="142" t="str">
        <f t="shared" si="42"/>
        <v/>
      </c>
      <c r="CH48" s="142" t="str">
        <f t="shared" si="37"/>
        <v/>
      </c>
      <c r="CI48" s="142" t="str">
        <f t="shared" si="43"/>
        <v/>
      </c>
      <c r="CN48" s="34">
        <f t="shared" si="44"/>
        <v>0</v>
      </c>
      <c r="CO48" s="34">
        <f t="shared" si="45"/>
        <v>0</v>
      </c>
      <c r="CP48" s="34">
        <f t="shared" si="46"/>
        <v>0</v>
      </c>
      <c r="CQ48" s="34">
        <f t="shared" si="47"/>
        <v>0</v>
      </c>
      <c r="CR48" s="34">
        <f t="shared" si="48"/>
        <v>0</v>
      </c>
      <c r="CS48" s="34">
        <f t="shared" si="49"/>
        <v>0</v>
      </c>
      <c r="CT48" s="34">
        <f t="shared" si="50"/>
        <v>0</v>
      </c>
      <c r="CU48" s="34">
        <f t="shared" si="51"/>
        <v>0</v>
      </c>
      <c r="CV48" s="34">
        <f t="shared" si="52"/>
        <v>0</v>
      </c>
    </row>
    <row r="49" spans="1:100" ht="15" customHeight="1">
      <c r="A49" s="160" t="s">
        <v>17</v>
      </c>
      <c r="B49" s="165"/>
      <c r="C49" s="166"/>
      <c r="D49" s="167"/>
      <c r="E49" s="167"/>
      <c r="F49" s="168"/>
      <c r="G49" s="166"/>
      <c r="H49" s="168"/>
      <c r="I49" s="166"/>
      <c r="J49" s="65"/>
      <c r="K49" s="65"/>
      <c r="L49" s="5" t="str">
        <f t="shared" si="39"/>
        <v/>
      </c>
      <c r="X49" s="5"/>
      <c r="Y49" s="5"/>
      <c r="Z49" s="5"/>
      <c r="AA49" s="5"/>
      <c r="AB49" s="5"/>
      <c r="AC49" s="6"/>
      <c r="BJ49" s="2"/>
      <c r="BK49" s="2"/>
      <c r="BL49" s="2"/>
      <c r="BM49" s="2"/>
      <c r="BN49" s="2"/>
      <c r="CA49" s="142" t="str">
        <f>IF($B49&lt;$C49,"* Las Gestantes de 35 a 39 años con Riesgo Psicosocial deben estar incluidas en el Total de Gestantes en Control misma edad. ","")</f>
        <v/>
      </c>
      <c r="CB49" s="142" t="str">
        <f>IF($C49&lt;$E49,"* Las Gestantes de 35 a 39 años Que presentan Violencia de género deben estar incluidas en el grupo En Riesgo Psicosocial. ","")</f>
        <v/>
      </c>
      <c r="CC49" s="142" t="str">
        <f>IF($B49&lt;$D49,"* Las Gestantes de 35 a 39 años con 3 o más Riesgos Psicosocial deben estar incluidas en el Total de Gestantes en Control misma edad. ","")</f>
        <v/>
      </c>
      <c r="CD49" s="142" t="str">
        <f>IF($B49&lt;$F49,"* Las Gestantes que presentan ARO de 35 a 39 años deben estar incluidas en el Total de Gestantes en Control misma edad. ","")</f>
        <v/>
      </c>
      <c r="CE49" s="142" t="str">
        <f t="shared" si="40"/>
        <v/>
      </c>
      <c r="CF49" s="142" t="str">
        <f t="shared" si="41"/>
        <v/>
      </c>
      <c r="CG49" s="142" t="str">
        <f t="shared" si="42"/>
        <v/>
      </c>
      <c r="CH49" s="142" t="str">
        <f t="shared" si="37"/>
        <v/>
      </c>
      <c r="CI49" s="142" t="str">
        <f t="shared" si="43"/>
        <v/>
      </c>
      <c r="CN49" s="34">
        <f t="shared" si="44"/>
        <v>0</v>
      </c>
      <c r="CO49" s="34">
        <f t="shared" si="45"/>
        <v>0</v>
      </c>
      <c r="CP49" s="34">
        <f t="shared" si="46"/>
        <v>0</v>
      </c>
      <c r="CQ49" s="34">
        <f t="shared" si="47"/>
        <v>0</v>
      </c>
      <c r="CR49" s="34">
        <f t="shared" si="48"/>
        <v>0</v>
      </c>
      <c r="CS49" s="34">
        <f t="shared" si="49"/>
        <v>0</v>
      </c>
      <c r="CT49" s="34">
        <f t="shared" si="50"/>
        <v>0</v>
      </c>
      <c r="CU49" s="34">
        <f t="shared" si="51"/>
        <v>0</v>
      </c>
      <c r="CV49" s="34">
        <f t="shared" si="52"/>
        <v>0</v>
      </c>
    </row>
    <row r="50" spans="1:100" ht="15" customHeight="1">
      <c r="A50" s="160" t="s">
        <v>18</v>
      </c>
      <c r="B50" s="165"/>
      <c r="C50" s="166"/>
      <c r="D50" s="167"/>
      <c r="E50" s="167"/>
      <c r="F50" s="168"/>
      <c r="G50" s="166"/>
      <c r="H50" s="168"/>
      <c r="I50" s="166"/>
      <c r="J50" s="65"/>
      <c r="K50" s="65"/>
      <c r="L50" s="5" t="str">
        <f t="shared" si="39"/>
        <v/>
      </c>
      <c r="X50" s="5"/>
      <c r="Y50" s="5"/>
      <c r="Z50" s="5"/>
      <c r="AA50" s="5"/>
      <c r="AB50" s="5"/>
      <c r="AC50" s="6"/>
      <c r="BJ50" s="2"/>
      <c r="BK50" s="2"/>
      <c r="BL50" s="2"/>
      <c r="BM50" s="2"/>
      <c r="BN50" s="2"/>
      <c r="CA50" s="142" t="str">
        <f>IF($B50&lt;$C50,"* Las Gestantes 40 a 44 años con Riesgo Psicosocial deben estar incluidas en el Total de Gestantes en Control misma edad. ","")</f>
        <v/>
      </c>
      <c r="CB50" s="142" t="str">
        <f>IF($C50&lt;$E50,"* Las Gestantes de 40 a 44 años Que presentan Violencia de género deben estar incluidas en el grupo En Riesgo Psicosocial. ","")</f>
        <v/>
      </c>
      <c r="CC50" s="142" t="str">
        <f>IF($B50&lt;$D50,"* Las Gestantes de 40 a 44 años con 3 o más Riesgos Psicosocial deben estar incluidas en el Total de Gestantes en Control misma edad. ","")</f>
        <v/>
      </c>
      <c r="CD50" s="142" t="str">
        <f>IF($B50&lt;$F50,"* Las Gestantes que presentan ARO de 40 a 44 años deben estar incluidas en el Total de Gestantes en Control misma edad. ","")</f>
        <v/>
      </c>
      <c r="CE50" s="142" t="str">
        <f t="shared" si="40"/>
        <v/>
      </c>
      <c r="CF50" s="142" t="str">
        <f t="shared" si="41"/>
        <v/>
      </c>
      <c r="CG50" s="142" t="str">
        <f t="shared" si="42"/>
        <v/>
      </c>
      <c r="CH50" s="142" t="str">
        <f t="shared" si="37"/>
        <v/>
      </c>
      <c r="CI50" s="142" t="str">
        <f t="shared" si="43"/>
        <v/>
      </c>
      <c r="CN50" s="34">
        <f t="shared" si="44"/>
        <v>0</v>
      </c>
      <c r="CO50" s="34">
        <f t="shared" si="45"/>
        <v>0</v>
      </c>
      <c r="CP50" s="34">
        <f t="shared" si="46"/>
        <v>0</v>
      </c>
      <c r="CQ50" s="34">
        <f t="shared" si="47"/>
        <v>0</v>
      </c>
      <c r="CR50" s="34">
        <f t="shared" si="48"/>
        <v>0</v>
      </c>
      <c r="CS50" s="34">
        <f t="shared" si="49"/>
        <v>0</v>
      </c>
      <c r="CT50" s="34">
        <f t="shared" si="50"/>
        <v>0</v>
      </c>
      <c r="CU50" s="34">
        <f t="shared" si="51"/>
        <v>0</v>
      </c>
      <c r="CV50" s="34">
        <f t="shared" si="52"/>
        <v>0</v>
      </c>
    </row>
    <row r="51" spans="1:100" ht="15" customHeight="1">
      <c r="A51" s="160" t="s">
        <v>19</v>
      </c>
      <c r="B51" s="165"/>
      <c r="C51" s="166"/>
      <c r="D51" s="167"/>
      <c r="E51" s="167"/>
      <c r="F51" s="168"/>
      <c r="G51" s="166"/>
      <c r="H51" s="168"/>
      <c r="I51" s="166"/>
      <c r="J51" s="65"/>
      <c r="K51" s="65"/>
      <c r="L51" s="5" t="str">
        <f t="shared" si="39"/>
        <v/>
      </c>
      <c r="X51" s="5"/>
      <c r="Y51" s="5"/>
      <c r="Z51" s="5"/>
      <c r="AA51" s="5"/>
      <c r="AB51" s="5"/>
      <c r="AC51" s="6"/>
      <c r="BJ51" s="2"/>
      <c r="BK51" s="2"/>
      <c r="BL51" s="2"/>
      <c r="BM51" s="2"/>
      <c r="BN51" s="2"/>
      <c r="CA51" s="142" t="str">
        <f>IF($B51&lt;$C51,"* Las Gestantes de 45 a 49 años con Riesgo Psicosocial deben estar incluidas en el Total de Gestantes en Control misma edad. ","")</f>
        <v/>
      </c>
      <c r="CB51" s="142" t="str">
        <f>IF($C51&lt;$E51,"* Las Gestantes de 45 a 49 años Que presentan Violencia de género deben estar incluidas en el grupo En Riesgo Psicosocial. ","")</f>
        <v/>
      </c>
      <c r="CC51" s="142" t="str">
        <f>IF($B51&lt;$D51,"* Las Gestantes 45 a 49 años con 3 o más Riesgos Psicosocial deben estar incluidas en el Total de Gestantes en Control misma edad. ","")</f>
        <v/>
      </c>
      <c r="CD51" s="142" t="str">
        <f>IF($B51&lt;$F51,"* Las Gestantes que presentan ARO de 45 a 49 años deben estar incluidas en el Total de Gestantes en Control misma edad. ","")</f>
        <v/>
      </c>
      <c r="CE51" s="142" t="str">
        <f t="shared" si="40"/>
        <v/>
      </c>
      <c r="CF51" s="142" t="str">
        <f t="shared" si="41"/>
        <v/>
      </c>
      <c r="CG51" s="142" t="str">
        <f t="shared" si="42"/>
        <v/>
      </c>
      <c r="CH51" s="142" t="str">
        <f t="shared" si="37"/>
        <v/>
      </c>
      <c r="CI51" s="142" t="str">
        <f t="shared" si="43"/>
        <v/>
      </c>
      <c r="CN51" s="34">
        <f t="shared" si="44"/>
        <v>0</v>
      </c>
      <c r="CO51" s="34">
        <f t="shared" si="45"/>
        <v>0</v>
      </c>
      <c r="CP51" s="34">
        <f t="shared" si="46"/>
        <v>0</v>
      </c>
      <c r="CQ51" s="34">
        <f t="shared" si="47"/>
        <v>0</v>
      </c>
      <c r="CR51" s="34">
        <f t="shared" si="48"/>
        <v>0</v>
      </c>
      <c r="CS51" s="34">
        <f t="shared" si="49"/>
        <v>0</v>
      </c>
      <c r="CT51" s="34">
        <f t="shared" si="50"/>
        <v>0</v>
      </c>
      <c r="CU51" s="34">
        <f t="shared" si="51"/>
        <v>0</v>
      </c>
      <c r="CV51" s="34">
        <f t="shared" si="52"/>
        <v>0</v>
      </c>
    </row>
    <row r="52" spans="1:100" ht="15" customHeight="1">
      <c r="A52" s="160" t="s">
        <v>20</v>
      </c>
      <c r="B52" s="165"/>
      <c r="C52" s="166"/>
      <c r="D52" s="167"/>
      <c r="E52" s="167"/>
      <c r="F52" s="168"/>
      <c r="G52" s="166"/>
      <c r="H52" s="168"/>
      <c r="I52" s="166"/>
      <c r="J52" s="65"/>
      <c r="K52" s="65"/>
      <c r="L52" s="5" t="str">
        <f>($CA52&amp;$CB52&amp;$CC52&amp;$CD52&amp;$CE52&amp;$CF52&amp;CG52&amp;CH52&amp;CI52)</f>
        <v/>
      </c>
      <c r="X52" s="5"/>
      <c r="Y52" s="5"/>
      <c r="Z52" s="5"/>
      <c r="AA52" s="5"/>
      <c r="AB52" s="5"/>
      <c r="AC52" s="6"/>
      <c r="BJ52" s="2"/>
      <c r="BK52" s="2"/>
      <c r="BL52" s="2"/>
      <c r="BM52" s="2"/>
      <c r="BN52" s="2"/>
      <c r="CA52" s="142" t="str">
        <f>IF($B52&lt;$C52,"* Las Gestantes de 50 a 54 años con Riesgo Psicosocial deben estar incluidas en el Total de Gestantes en Control misma edad. ","")</f>
        <v/>
      </c>
      <c r="CB52" s="142" t="str">
        <f>IF($C52&lt;$E52,"* Las Gestantes de 50 a 54 años Que presentan Violencia de género deben estar incluidas en el grupo En Riesgo Psicosocial. ","")</f>
        <v/>
      </c>
      <c r="CC52" s="142" t="str">
        <f>IF($B52&lt;$D52,"* Las Gestantes de 50 a 54 años con 3 o más Riesgos Psicosocial deben estar incluidas en el Total de Gestantes en Control misma edad. ","")</f>
        <v/>
      </c>
      <c r="CD52" s="142" t="str">
        <f>IF($B52&lt;$F52,"* Las Gestantes que presentan ARO de 50 a 54 años deben estar incluidas en el Total de Gestantes en Control misma edad. ","")</f>
        <v/>
      </c>
      <c r="CE52" s="142" t="str">
        <f t="shared" si="40"/>
        <v/>
      </c>
      <c r="CF52" s="142" t="str">
        <f t="shared" si="41"/>
        <v/>
      </c>
      <c r="CG52" s="142" t="str">
        <f t="shared" si="42"/>
        <v/>
      </c>
      <c r="CH52" s="142" t="str">
        <f t="shared" si="37"/>
        <v/>
      </c>
      <c r="CI52" s="142" t="str">
        <f t="shared" si="43"/>
        <v/>
      </c>
      <c r="CN52" s="34">
        <f t="shared" si="44"/>
        <v>0</v>
      </c>
      <c r="CO52" s="34">
        <f t="shared" si="45"/>
        <v>0</v>
      </c>
      <c r="CP52" s="34">
        <f t="shared" si="46"/>
        <v>0</v>
      </c>
      <c r="CQ52" s="34">
        <f t="shared" si="47"/>
        <v>0</v>
      </c>
      <c r="CR52" s="34">
        <f t="shared" si="48"/>
        <v>0</v>
      </c>
      <c r="CS52" s="34">
        <f t="shared" si="49"/>
        <v>0</v>
      </c>
      <c r="CT52" s="34">
        <f t="shared" si="50"/>
        <v>0</v>
      </c>
      <c r="CU52" s="34">
        <f t="shared" si="51"/>
        <v>0</v>
      </c>
      <c r="CV52" s="34">
        <f t="shared" si="52"/>
        <v>0</v>
      </c>
    </row>
    <row r="53" spans="1:100" ht="15" customHeight="1">
      <c r="A53" s="169" t="s">
        <v>45</v>
      </c>
      <c r="B53" s="170">
        <f t="shared" ref="B53:K53" si="53">SUM(B44:B52)</f>
        <v>0</v>
      </c>
      <c r="C53" s="171">
        <f t="shared" si="53"/>
        <v>0</v>
      </c>
      <c r="D53" s="172">
        <f>SUM(D44:D52)</f>
        <v>0</v>
      </c>
      <c r="E53" s="172">
        <f t="shared" si="53"/>
        <v>0</v>
      </c>
      <c r="F53" s="173">
        <f t="shared" si="53"/>
        <v>0</v>
      </c>
      <c r="G53" s="171">
        <f t="shared" si="53"/>
        <v>0</v>
      </c>
      <c r="H53" s="173">
        <f t="shared" si="53"/>
        <v>0</v>
      </c>
      <c r="I53" s="171">
        <f t="shared" si="53"/>
        <v>0</v>
      </c>
      <c r="J53" s="170">
        <f t="shared" si="53"/>
        <v>0</v>
      </c>
      <c r="K53" s="170">
        <f t="shared" si="53"/>
        <v>0</v>
      </c>
      <c r="L53" s="7"/>
      <c r="X53" s="5"/>
      <c r="Y53" s="5"/>
      <c r="Z53" s="5"/>
      <c r="AA53" s="5"/>
      <c r="AB53" s="5"/>
      <c r="AC53" s="6"/>
      <c r="BJ53" s="2"/>
      <c r="BK53" s="2"/>
      <c r="BL53" s="2"/>
      <c r="BM53" s="2"/>
      <c r="BN53" s="2"/>
    </row>
    <row r="54" spans="1:100" ht="17.149999999999999" customHeight="1">
      <c r="A54" s="1689" t="s">
        <v>60</v>
      </c>
      <c r="B54" s="1690"/>
      <c r="C54" s="1690"/>
      <c r="D54" s="1690"/>
      <c r="E54" s="1690"/>
      <c r="F54" s="174"/>
      <c r="G54" s="174"/>
      <c r="H54" s="174"/>
      <c r="I54" s="174"/>
      <c r="J54" s="174"/>
      <c r="K54" s="174"/>
    </row>
    <row r="55" spans="1:100" ht="15" customHeight="1">
      <c r="A55" s="1705" t="s">
        <v>61</v>
      </c>
      <c r="B55" s="1706" t="s">
        <v>62</v>
      </c>
      <c r="C55" s="1706" t="s">
        <v>63</v>
      </c>
      <c r="D55" s="1706" t="s">
        <v>64</v>
      </c>
      <c r="E55" s="3"/>
    </row>
    <row r="56" spans="1:100" ht="12" customHeight="1">
      <c r="A56" s="1705"/>
      <c r="B56" s="1707"/>
      <c r="C56" s="1707"/>
      <c r="D56" s="1707"/>
      <c r="E56" s="3"/>
    </row>
    <row r="57" spans="1:100" ht="15" customHeight="1">
      <c r="A57" s="156" t="s">
        <v>65</v>
      </c>
      <c r="B57" s="141"/>
      <c r="C57" s="22">
        <f>B57*1</f>
        <v>0</v>
      </c>
      <c r="D57" s="141"/>
      <c r="E57" s="5" t="str">
        <f>($CA57&amp;$CB57)</f>
        <v/>
      </c>
      <c r="CA57" s="142" t="str">
        <f>IF($C$57&lt;&gt;$B$57*1,"* NO ALTERE LAS FÓRMULAS, el Total de Visitas equivale a 1 visita por gestante. ","")</f>
        <v/>
      </c>
      <c r="CB57" s="142" t="str">
        <f>IF(AND($B57&lt;&gt;0,D57=""),"* No olvide ingresar la variable "&amp;D$55&amp;""&amp;". Digite CERO si no tiene. ","")</f>
        <v/>
      </c>
      <c r="CN57" s="34">
        <f>IF($C$57&lt;&gt;$B$57*1,1,0)</f>
        <v>0</v>
      </c>
      <c r="CO57" s="34">
        <f>IF(AND($B57&lt;&gt;0,$D57=""),1,0)</f>
        <v>0</v>
      </c>
    </row>
    <row r="58" spans="1:100" ht="15" customHeight="1">
      <c r="A58" s="160" t="s">
        <v>66</v>
      </c>
      <c r="B58" s="175"/>
      <c r="C58" s="69">
        <f>B58*2</f>
        <v>0</v>
      </c>
      <c r="D58" s="175"/>
      <c r="E58" s="5" t="str">
        <f t="shared" ref="E58:E59" si="54">($CA58&amp;$CB58)</f>
        <v/>
      </c>
      <c r="CA58" s="142" t="str">
        <f>IF($C$58&lt;&gt;$B$58*1,"* NO ALTERE LAS FÓRMULAS, el Total de Visitas equivale a 1 visita por gestante. ","")</f>
        <v/>
      </c>
      <c r="CB58" s="142" t="str">
        <f t="shared" ref="CB58:CB60" si="55">IF(AND($B58&lt;&gt;0,D58=""),"* No olvide ingresar la variable "&amp;D$55&amp;""&amp;". Digite CERO si no tiene. ","")</f>
        <v/>
      </c>
      <c r="CN58" s="34">
        <f>IF($C$58&lt;&gt;$B$58*1,1,0)</f>
        <v>0</v>
      </c>
      <c r="CO58" s="34">
        <f t="shared" ref="CO58:CO60" si="56">IF(AND($B58&lt;&gt;0,$D58=""),1,0)</f>
        <v>0</v>
      </c>
    </row>
    <row r="59" spans="1:100" ht="15" customHeight="1">
      <c r="A59" s="160" t="s">
        <v>67</v>
      </c>
      <c r="B59" s="175"/>
      <c r="C59" s="176">
        <f>B59*3</f>
        <v>0</v>
      </c>
      <c r="D59" s="175"/>
      <c r="E59" s="5" t="str">
        <f t="shared" si="54"/>
        <v/>
      </c>
      <c r="CA59" s="142" t="str">
        <f>IF($C$59&lt;&gt;$B$59*1,"* NO ALTERE LAS FÓRMULAS, el Total de Visitas equivale a 1 visita por gestante. ","")</f>
        <v/>
      </c>
      <c r="CB59" s="142" t="str">
        <f t="shared" si="55"/>
        <v/>
      </c>
      <c r="CN59" s="34">
        <f>IF($C$59&lt;&gt;$B$59*1,1,0)</f>
        <v>0</v>
      </c>
      <c r="CO59" s="34">
        <f t="shared" si="56"/>
        <v>0</v>
      </c>
    </row>
    <row r="60" spans="1:100" ht="15" customHeight="1">
      <c r="A60" s="177" t="s">
        <v>68</v>
      </c>
      <c r="B60" s="178"/>
      <c r="C60" s="78">
        <f>B60*1</f>
        <v>0</v>
      </c>
      <c r="D60" s="178"/>
      <c r="E60" s="5" t="str">
        <f>($CA60&amp;$CB60)</f>
        <v/>
      </c>
      <c r="CA60" s="142" t="str">
        <f>IF($C$60&lt;&gt;$B$60*1,"* NO ALTERE LAS FÓRMULAS, el Total de Visitas equivale a 1 visita por gestante. ","")</f>
        <v/>
      </c>
      <c r="CB60" s="142" t="str">
        <f t="shared" si="55"/>
        <v/>
      </c>
      <c r="CN60" s="34">
        <f>IF($C$60&lt;&gt;$B$60*1,1,0)</f>
        <v>0</v>
      </c>
      <c r="CO60" s="34">
        <f t="shared" si="56"/>
        <v>0</v>
      </c>
    </row>
    <row r="61" spans="1:100" ht="15" customHeight="1">
      <c r="A61" s="169" t="s">
        <v>45</v>
      </c>
      <c r="B61" s="124">
        <f>SUM(B57:B60)</f>
        <v>0</v>
      </c>
      <c r="C61" s="124">
        <f>SUM(C57:C60)</f>
        <v>0</v>
      </c>
      <c r="D61" s="124">
        <f>SUM(D57:D60)</f>
        <v>0</v>
      </c>
      <c r="E61" s="3"/>
    </row>
    <row r="62" spans="1:100" ht="17.149999999999999" customHeight="1">
      <c r="A62" s="1683" t="s">
        <v>69</v>
      </c>
      <c r="B62" s="1684"/>
      <c r="C62" s="1684"/>
      <c r="D62" s="1684"/>
      <c r="E62" s="1684"/>
      <c r="F62" s="1684"/>
      <c r="G62" s="1684"/>
      <c r="H62" s="1684"/>
      <c r="I62" s="1684"/>
      <c r="J62" s="1684"/>
      <c r="K62" s="1684"/>
      <c r="L62" s="1684"/>
    </row>
    <row r="63" spans="1:100" ht="15" customHeight="1">
      <c r="A63" s="1713" t="s">
        <v>70</v>
      </c>
      <c r="B63" s="1677" t="s">
        <v>71</v>
      </c>
      <c r="C63" s="1677" t="s">
        <v>5</v>
      </c>
      <c r="D63" s="1686" t="s">
        <v>6</v>
      </c>
      <c r="E63" s="1687"/>
      <c r="F63" s="1687"/>
      <c r="G63" s="1687"/>
      <c r="H63" s="1687"/>
      <c r="I63" s="1687"/>
      <c r="J63" s="1687"/>
      <c r="K63" s="1687"/>
      <c r="L63" s="1680"/>
    </row>
    <row r="64" spans="1:100" ht="15" customHeight="1">
      <c r="A64" s="1714"/>
      <c r="B64" s="1678"/>
      <c r="C64" s="1678"/>
      <c r="D64" s="179" t="s">
        <v>72</v>
      </c>
      <c r="E64" s="180" t="s">
        <v>13</v>
      </c>
      <c r="F64" s="180" t="s">
        <v>14</v>
      </c>
      <c r="G64" s="11" t="s">
        <v>15</v>
      </c>
      <c r="H64" s="11" t="s">
        <v>16</v>
      </c>
      <c r="I64" s="11" t="s">
        <v>17</v>
      </c>
      <c r="J64" s="11" t="s">
        <v>18</v>
      </c>
      <c r="K64" s="11" t="s">
        <v>19</v>
      </c>
      <c r="L64" s="181" t="s">
        <v>20</v>
      </c>
      <c r="M64" s="3"/>
    </row>
    <row r="65" spans="1:100" ht="15" customHeight="1">
      <c r="A65" s="1677" t="s">
        <v>73</v>
      </c>
      <c r="B65" s="315" t="s">
        <v>150</v>
      </c>
      <c r="C65" s="182">
        <f>SUM(D65:L65)</f>
        <v>0</v>
      </c>
      <c r="D65" s="27"/>
      <c r="E65" s="117"/>
      <c r="F65" s="117"/>
      <c r="G65" s="117"/>
      <c r="H65" s="117"/>
      <c r="I65" s="117"/>
      <c r="J65" s="117"/>
      <c r="K65" s="117"/>
      <c r="L65" s="28"/>
    </row>
    <row r="66" spans="1:100" ht="15" customHeight="1">
      <c r="A66" s="1688"/>
      <c r="B66" s="316" t="s">
        <v>151</v>
      </c>
      <c r="C66" s="183">
        <f>SUM(D66:L66)</f>
        <v>0</v>
      </c>
      <c r="D66" s="57"/>
      <c r="E66" s="163"/>
      <c r="F66" s="163"/>
      <c r="G66" s="163"/>
      <c r="H66" s="163"/>
      <c r="I66" s="163"/>
      <c r="J66" s="163"/>
      <c r="K66" s="163"/>
      <c r="L66" s="58"/>
    </row>
    <row r="67" spans="1:100" ht="15" customHeight="1">
      <c r="A67" s="1688"/>
      <c r="B67" s="316" t="s">
        <v>152</v>
      </c>
      <c r="C67" s="183">
        <f t="shared" ref="C67:C73" si="57">SUM(D67:L67)</f>
        <v>0</v>
      </c>
      <c r="D67" s="57"/>
      <c r="E67" s="163"/>
      <c r="F67" s="163"/>
      <c r="G67" s="163"/>
      <c r="H67" s="163"/>
      <c r="I67" s="163"/>
      <c r="J67" s="163"/>
      <c r="K67" s="163"/>
      <c r="L67" s="58"/>
    </row>
    <row r="68" spans="1:100" ht="15" customHeight="1">
      <c r="A68" s="1688"/>
      <c r="B68" s="317" t="s">
        <v>153</v>
      </c>
      <c r="C68" s="184">
        <f>SUM(D68:L68)</f>
        <v>0</v>
      </c>
      <c r="D68" s="64"/>
      <c r="E68" s="167"/>
      <c r="F68" s="167"/>
      <c r="G68" s="167"/>
      <c r="H68" s="167"/>
      <c r="I68" s="167"/>
      <c r="J68" s="167"/>
      <c r="K68" s="167"/>
      <c r="L68" s="65"/>
    </row>
    <row r="69" spans="1:100" ht="15" customHeight="1">
      <c r="A69" s="1678"/>
      <c r="B69" s="169" t="s">
        <v>45</v>
      </c>
      <c r="C69" s="124">
        <f>SUM(D69:L69)</f>
        <v>0</v>
      </c>
      <c r="D69" s="185">
        <f>SUM(D65:D68)</f>
        <v>0</v>
      </c>
      <c r="E69" s="172">
        <f t="shared" ref="E69:L69" si="58">SUM(E65:E68)</f>
        <v>0</v>
      </c>
      <c r="F69" s="172">
        <f t="shared" si="58"/>
        <v>0</v>
      </c>
      <c r="G69" s="172">
        <f t="shared" si="58"/>
        <v>0</v>
      </c>
      <c r="H69" s="172">
        <f t="shared" si="58"/>
        <v>0</v>
      </c>
      <c r="I69" s="172">
        <f t="shared" si="58"/>
        <v>0</v>
      </c>
      <c r="J69" s="172">
        <f t="shared" si="58"/>
        <v>0</v>
      </c>
      <c r="K69" s="172">
        <f t="shared" si="58"/>
        <v>0</v>
      </c>
      <c r="L69" s="170">
        <f t="shared" si="58"/>
        <v>0</v>
      </c>
      <c r="M69" s="5" t="str">
        <f xml:space="preserve"> CA69 &amp; CB69 &amp; CC69 &amp; CD69 &amp; CE69 &amp; CF69 &amp; CG69 &amp;CH69&amp;CI69</f>
        <v/>
      </c>
      <c r="CA69" s="142" t="str">
        <f>IF($B$44&lt;&gt;$D69,"* El Total de Gestantes Menos de 15 años, según Estado Nutricional, debe ser igual al Total de Gestantes en Control de esa edad, de la Sección B. ","")</f>
        <v/>
      </c>
      <c r="CB69" s="142" t="str">
        <f>IF($B$45&lt;&gt;$E69,"* El Total de Gestantes 15-19 años, según Estado Nutricional debe ser igual al Total de gestantes en Control de esa edad, de la Sección B. ","")</f>
        <v/>
      </c>
      <c r="CC69" s="142" t="str">
        <f>IF($B$46&lt;&gt;$F69,"* El Total de Gestantes 20-24 años, según Estado Nutricional debe ser igual al Total de gestantes en Control de esa edad, de la Sección B. ","")</f>
        <v/>
      </c>
      <c r="CD69" s="142" t="str">
        <f>IF($B$47&lt;&gt;$G69,"* El Total de Gestantes 25-29 años, según Estado Nutricional debe ser igual al Total de gestantes en Control de esa edad, de la Sección B. ","")</f>
        <v/>
      </c>
      <c r="CE69" s="142" t="str">
        <f>IF($B$48&lt;&gt;$H69,"* El Total de Gestantes 30-34 años, según Estado Nutricional debe ser igual al Total de gestantes en Control de esa edad, de la Sección B. ","")</f>
        <v/>
      </c>
      <c r="CF69" s="142" t="str">
        <f>IF($B$49&lt;&gt;$I69,"* El Total de Gestantes 35-39 años, según Estado Nutricional debe ser igual al Total de gestantes en Control de esa edad, de la Sección B. ","")</f>
        <v/>
      </c>
      <c r="CG69" s="142" t="str">
        <f>IF($B$50&lt;&gt;$J69,"* El Total de Gestantes 40-44 años, según Estado Nutricional debe ser igual al Total de gestantes en Control de esa edad, de la Sección B. ","")</f>
        <v/>
      </c>
      <c r="CH69" s="142" t="str">
        <f>IF($B$51&lt;&gt;$K69,"* El Total de Gestantes 45-49 años, según Estado Nutricional debe ser igual al Total de gestantes en Control de esa edad, de la Sección B. ","")</f>
        <v/>
      </c>
      <c r="CI69" s="142" t="str">
        <f>IF($B$52&lt;&gt;$L69,"* El Total de Gestantes 50-54 años, según Estado Nutricional debe ser igual al Total de gestantes en Control de esa edad, de la Sección B. ","")</f>
        <v/>
      </c>
      <c r="CN69" s="34">
        <f>IF($B$44&lt;&gt;$D69,1,0)</f>
        <v>0</v>
      </c>
      <c r="CO69" s="34">
        <f>IF($B$45&lt;&gt;$E69,1,0)</f>
        <v>0</v>
      </c>
      <c r="CP69" s="34">
        <f>IF($B$46&lt;&gt;$F69,1,0)</f>
        <v>0</v>
      </c>
      <c r="CQ69" s="34">
        <f>IF($B$47&lt;&gt;$G69,1,0)</f>
        <v>0</v>
      </c>
      <c r="CR69" s="34">
        <f>IF($B$48&lt;&gt;$H69,1,0)</f>
        <v>0</v>
      </c>
      <c r="CS69" s="34">
        <f>IF($B$49&lt;&gt;$I69,1,0)</f>
        <v>0</v>
      </c>
      <c r="CT69" s="34">
        <f>IF($B$50&lt;&gt;$J69,1,0)</f>
        <v>0</v>
      </c>
      <c r="CU69" s="34">
        <f>IF($B$51&lt;&gt;$K69,1,0)</f>
        <v>0</v>
      </c>
      <c r="CV69" s="34">
        <f>IF($B$52&lt;&gt;$L69,1,0)</f>
        <v>0</v>
      </c>
    </row>
    <row r="70" spans="1:100" ht="15" customHeight="1">
      <c r="A70" s="1677" t="s">
        <v>75</v>
      </c>
      <c r="B70" s="315" t="s">
        <v>150</v>
      </c>
      <c r="C70" s="182">
        <f>SUM(D70:L70)</f>
        <v>0</v>
      </c>
      <c r="D70" s="27"/>
      <c r="E70" s="117"/>
      <c r="F70" s="117"/>
      <c r="G70" s="117"/>
      <c r="H70" s="117"/>
      <c r="I70" s="117"/>
      <c r="J70" s="117"/>
      <c r="K70" s="117"/>
      <c r="L70" s="28"/>
    </row>
    <row r="71" spans="1:100" ht="15" customHeight="1">
      <c r="A71" s="1688"/>
      <c r="B71" s="316" t="s">
        <v>151</v>
      </c>
      <c r="C71" s="183">
        <f t="shared" si="57"/>
        <v>0</v>
      </c>
      <c r="D71" s="57"/>
      <c r="E71" s="163"/>
      <c r="F71" s="163"/>
      <c r="G71" s="163"/>
      <c r="H71" s="163"/>
      <c r="I71" s="163"/>
      <c r="J71" s="163"/>
      <c r="K71" s="163"/>
      <c r="L71" s="58"/>
    </row>
    <row r="72" spans="1:100" ht="15" customHeight="1">
      <c r="A72" s="1688"/>
      <c r="B72" s="316" t="s">
        <v>152</v>
      </c>
      <c r="C72" s="183">
        <f t="shared" si="57"/>
        <v>0</v>
      </c>
      <c r="D72" s="57"/>
      <c r="E72" s="163"/>
      <c r="F72" s="163"/>
      <c r="G72" s="163"/>
      <c r="H72" s="163"/>
      <c r="I72" s="163"/>
      <c r="J72" s="163"/>
      <c r="K72" s="163"/>
      <c r="L72" s="58"/>
    </row>
    <row r="73" spans="1:100" ht="15" customHeight="1">
      <c r="A73" s="1688"/>
      <c r="B73" s="317" t="s">
        <v>153</v>
      </c>
      <c r="C73" s="184">
        <f t="shared" si="57"/>
        <v>0</v>
      </c>
      <c r="D73" s="81"/>
      <c r="E73" s="186"/>
      <c r="F73" s="186"/>
      <c r="G73" s="186"/>
      <c r="H73" s="186"/>
      <c r="I73" s="186"/>
      <c r="J73" s="186"/>
      <c r="K73" s="186"/>
      <c r="L73" s="82"/>
    </row>
    <row r="74" spans="1:100" ht="15" customHeight="1">
      <c r="A74" s="1678"/>
      <c r="B74" s="169" t="s">
        <v>45</v>
      </c>
      <c r="C74" s="187">
        <f>SUM(D74:L74)</f>
        <v>0</v>
      </c>
      <c r="D74" s="188">
        <f>SUM(D70:D73)</f>
        <v>0</v>
      </c>
      <c r="E74" s="189">
        <f>SUM(E70:E73)</f>
        <v>0</v>
      </c>
      <c r="F74" s="189">
        <f t="shared" ref="F74:L74" si="59">SUM(F70:F73)</f>
        <v>0</v>
      </c>
      <c r="G74" s="189">
        <f>SUM(G70:G73)</f>
        <v>0</v>
      </c>
      <c r="H74" s="189">
        <f t="shared" si="59"/>
        <v>0</v>
      </c>
      <c r="I74" s="189">
        <f t="shared" si="59"/>
        <v>0</v>
      </c>
      <c r="J74" s="189">
        <f>SUM(J70:J73)</f>
        <v>0</v>
      </c>
      <c r="K74" s="189">
        <f t="shared" si="59"/>
        <v>0</v>
      </c>
      <c r="L74" s="190">
        <f t="shared" si="59"/>
        <v>0</v>
      </c>
    </row>
    <row r="75" spans="1:100" ht="17.149999999999999" customHeight="1">
      <c r="A75" s="1689" t="s">
        <v>76</v>
      </c>
      <c r="B75" s="1690"/>
      <c r="C75" s="1690"/>
      <c r="D75" s="191"/>
      <c r="E75" s="191"/>
      <c r="F75" s="191"/>
      <c r="G75" s="191"/>
      <c r="H75" s="191"/>
      <c r="I75" s="191"/>
      <c r="J75" s="191"/>
      <c r="K75" s="191"/>
      <c r="L75" s="191"/>
    </row>
    <row r="76" spans="1:100" ht="15" customHeight="1">
      <c r="A76" s="192" t="s">
        <v>77</v>
      </c>
      <c r="B76" s="193" t="s">
        <v>5</v>
      </c>
      <c r="C76" s="194"/>
      <c r="D76" s="195"/>
      <c r="E76" s="195"/>
      <c r="F76" s="195"/>
      <c r="G76" s="7"/>
      <c r="H76" s="7"/>
    </row>
    <row r="77" spans="1:100" ht="15" customHeight="1">
      <c r="A77" s="196" t="s">
        <v>78</v>
      </c>
      <c r="B77" s="318"/>
      <c r="D77" s="7"/>
      <c r="E77" s="7"/>
      <c r="F77" s="7"/>
      <c r="G77" s="7"/>
      <c r="H77" s="7"/>
      <c r="CA77" s="142" t="str">
        <f>IF($B$77&lt;=$C$68,"","* Gestantes con malnutricion por déficit (bajo peso) no debe ser mayor que Gestantes en Control Bajo Peso (Seccion D). ")</f>
        <v/>
      </c>
      <c r="CN77" s="34">
        <f>IF($B$77&lt;=$C$68,0,1)</f>
        <v>0</v>
      </c>
    </row>
    <row r="78" spans="1:100" ht="15" customHeight="1">
      <c r="A78" s="197" t="s">
        <v>79</v>
      </c>
      <c r="B78" s="319"/>
      <c r="D78" s="7"/>
      <c r="E78" s="7"/>
      <c r="F78" s="7"/>
      <c r="G78" s="7"/>
      <c r="H78" s="7"/>
      <c r="CA78" s="142" t="str">
        <f>IF($B$78&lt;=$C$65,"","* Gestantes malnutricion  por exceso - Obesa no debe ser mayor que Gestantes en Control Obesa (Seccion D). ")</f>
        <v/>
      </c>
      <c r="CN78" s="34">
        <f>IF($B$78&lt;=$C$65,0,1)</f>
        <v>0</v>
      </c>
    </row>
    <row r="79" spans="1:100" ht="15" customHeight="1">
      <c r="A79" s="197" t="s">
        <v>80</v>
      </c>
      <c r="B79" s="319"/>
      <c r="D79" s="7"/>
      <c r="E79" s="7"/>
      <c r="F79" s="7"/>
      <c r="G79" s="7"/>
      <c r="H79" s="7"/>
      <c r="CA79" s="142" t="str">
        <f>IF($B$79&lt;=$C$66,"","* Gestantes malnutricion por exceso - Sobrepeso no debe ser mayor que Gestantes en Control Sobrepeso (Seccion D). ")</f>
        <v/>
      </c>
      <c r="CN79" s="34">
        <f>IF($B$79&lt;=$C$66,0,1)</f>
        <v>0</v>
      </c>
    </row>
    <row r="80" spans="1:100" ht="15" customHeight="1">
      <c r="A80" s="197" t="s">
        <v>81</v>
      </c>
      <c r="B80" s="319"/>
      <c r="D80" s="7"/>
      <c r="E80" s="7"/>
      <c r="F80" s="7"/>
      <c r="G80" s="7"/>
      <c r="H80" s="7"/>
    </row>
    <row r="81" spans="1:96" ht="15" customHeight="1">
      <c r="A81" s="198" t="s">
        <v>82</v>
      </c>
      <c r="B81" s="320"/>
      <c r="D81" s="7"/>
      <c r="E81" s="7"/>
      <c r="F81" s="7"/>
      <c r="G81" s="7"/>
      <c r="H81" s="7"/>
    </row>
    <row r="82" spans="1:96" ht="17.149999999999999" customHeight="1">
      <c r="A82" s="1683" t="s">
        <v>83</v>
      </c>
      <c r="B82" s="1684"/>
      <c r="C82" s="1684"/>
      <c r="D82" s="199"/>
      <c r="E82" s="199"/>
      <c r="F82" s="7"/>
      <c r="G82" s="7"/>
      <c r="H82" s="7"/>
    </row>
    <row r="83" spans="1:96" ht="26.25" customHeight="1">
      <c r="A83" s="193" t="s">
        <v>70</v>
      </c>
      <c r="B83" s="179" t="s">
        <v>84</v>
      </c>
      <c r="C83" s="200" t="s">
        <v>85</v>
      </c>
      <c r="D83" s="325" t="s">
        <v>27</v>
      </c>
      <c r="E83" s="326" t="s">
        <v>7</v>
      </c>
      <c r="F83" s="327" t="s">
        <v>58</v>
      </c>
      <c r="G83" s="195"/>
      <c r="H83" s="201"/>
      <c r="I83" s="195"/>
      <c r="J83" s="195"/>
      <c r="K83" s="7"/>
      <c r="L83" s="7"/>
      <c r="X83" s="5"/>
      <c r="Y83" s="5"/>
      <c r="Z83" s="5"/>
      <c r="AA83" s="5"/>
      <c r="AB83" s="6"/>
      <c r="BJ83" s="2"/>
      <c r="BK83" s="2"/>
      <c r="BL83" s="2"/>
      <c r="BM83" s="2"/>
    </row>
    <row r="84" spans="1:96" ht="15" customHeight="1">
      <c r="A84" s="202" t="s">
        <v>86</v>
      </c>
      <c r="B84" s="203"/>
      <c r="C84" s="328"/>
      <c r="D84" s="329"/>
      <c r="E84" s="329"/>
      <c r="F84" s="329"/>
      <c r="G84" s="5" t="str">
        <f>($CA84&amp;$CB84&amp;CC84&amp;CD84&amp;CE84)</f>
        <v/>
      </c>
      <c r="H84" s="7"/>
      <c r="I84" s="7"/>
      <c r="J84" s="7"/>
      <c r="K84" s="7"/>
      <c r="L84" s="7"/>
      <c r="X84" s="5"/>
      <c r="Y84" s="5"/>
      <c r="Z84" s="5"/>
      <c r="AA84" s="5"/>
      <c r="AB84" s="6"/>
      <c r="BJ84" s="2"/>
      <c r="BK84" s="2"/>
      <c r="BL84" s="2"/>
      <c r="BM84" s="2"/>
      <c r="CC84" s="142" t="str">
        <f>IF(AND($B84+C84&lt;&gt;0,D84=""),"* No olvide ingresar la variable "&amp;D$83&amp;""&amp;". Digite Cero si no tiene.",IF(D84&gt;$B84+$C84,"* La variable Trans Masculino no puede superar a la Población en Control. ",""))</f>
        <v/>
      </c>
      <c r="CD84" s="142" t="str">
        <f>IF(AND($B84+$C84&lt;&gt;0,E84=""),"* No olvide ingresar la variable "&amp;E$83&amp;""&amp;". Digite Cero si no tiene.",IF(E84&gt;$B84+$C84,"* La variable Pueblos Originarios no puede superar a la Población en Control. ",""))</f>
        <v/>
      </c>
      <c r="CE84" s="142" t="str">
        <f>IF(AND($B84+$C84&lt;&gt;0,F84=""),"* No olvide ingresar la variable "&amp;F$83&amp;""&amp;". Digite Cero si no tiene.",IF(F84&gt;$B84+$C84,"* La variable Migrantes no puede superar a la Población en Control. ",""))</f>
        <v/>
      </c>
      <c r="CP84" s="34">
        <f t="shared" ref="CP84:CP89" si="60">IF(AND($B84+C84&lt;&gt;0,D84=""),1,IF(D84&gt;$B84+$C84,1,0))</f>
        <v>0</v>
      </c>
      <c r="CQ84" s="34">
        <f t="shared" ref="CQ84:CQ89" si="61">IF(AND($B84+$C84&lt;&gt;0,E84=""),1,IF(E84&gt;$B84+$C84,1,0))</f>
        <v>0</v>
      </c>
      <c r="CR84" s="34">
        <f t="shared" ref="CR84:CR89" si="62">IF(AND($B84+C84&lt;&gt;0,F84=""),1,IF(F84&gt;$B84+$C84,1,0))</f>
        <v>0</v>
      </c>
    </row>
    <row r="85" spans="1:96" ht="15" customHeight="1">
      <c r="A85" s="204" t="s">
        <v>87</v>
      </c>
      <c r="B85" s="50"/>
      <c r="C85" s="205"/>
      <c r="D85" s="206"/>
      <c r="E85" s="103"/>
      <c r="F85" s="51"/>
      <c r="G85" s="5" t="str">
        <f t="shared" ref="G85:G90" si="63">($CA85&amp;$CB85&amp;CC85&amp;CD85&amp;CE85)</f>
        <v/>
      </c>
      <c r="H85" s="7"/>
      <c r="I85" s="7"/>
      <c r="J85" s="7"/>
      <c r="K85" s="7"/>
      <c r="L85" s="7"/>
      <c r="X85" s="5"/>
      <c r="Y85" s="5"/>
      <c r="Z85" s="5"/>
      <c r="AA85" s="5"/>
      <c r="AB85" s="6"/>
      <c r="BJ85" s="2"/>
      <c r="BK85" s="2"/>
      <c r="BL85" s="2"/>
      <c r="BM85" s="2"/>
      <c r="CA85" s="142" t="str">
        <f>IF(B85&gt;B84,"* El Nº de Mujeres con pauta aplicada MRS* no debe ser mayor a la población en control del grupo"&amp;B$83&amp;""&amp;". ","")</f>
        <v/>
      </c>
      <c r="CB85" s="142" t="str">
        <f>IF(C85&gt;C84,"* El Nº de mujeres con pauta aplicada MRS* no debe ser mayor a la Población en control del grupo"&amp;C$83&amp;""&amp;". ","")</f>
        <v/>
      </c>
      <c r="CC85" s="142" t="str">
        <f>IF(AND($B85+C85&lt;&gt;0,D85=""),"* No olvide ingresar la variable "&amp;D$83&amp;""&amp;". Digite Cero si no tiene.",IF(D85&gt;$B85+$C85,"* La variable Trans Masculino no puede superar a Mujeres con pauta aplicada MRS*. ",""))</f>
        <v/>
      </c>
      <c r="CD85" s="142" t="str">
        <f>IF(AND($B85+$C85&lt;&gt;0,E85=""),"* No olvide ingresar la variable "&amp;E$83&amp;""&amp;". Digite Cero si no tiene.",IF(E85&gt;$B85+$C85,"* La variable Pueblos Originarios no puede superar a Mujeres con pauta aplicada MRS*. ",""))</f>
        <v/>
      </c>
      <c r="CE85" s="142" t="str">
        <f>IF(AND($B85+$C85&lt;&gt;0,F85=""),"* No olvide ingresar la variable "&amp;F$83&amp;""&amp;". Digite Cero si no tiene.",IF(F85&gt;$B85+$C85,"* La variable Migrantes no puede superar a Mujeres con pauta aplicada MRS*. ",""))</f>
        <v/>
      </c>
      <c r="CN85" s="34">
        <f>IF($B85&gt;$B84,1,0)</f>
        <v>0</v>
      </c>
      <c r="CO85" s="34">
        <f>IF($C85&gt;$C84,1,0)</f>
        <v>0</v>
      </c>
      <c r="CP85" s="34">
        <f t="shared" si="60"/>
        <v>0</v>
      </c>
      <c r="CQ85" s="34">
        <f t="shared" si="61"/>
        <v>0</v>
      </c>
      <c r="CR85" s="34">
        <f t="shared" si="62"/>
        <v>0</v>
      </c>
    </row>
    <row r="86" spans="1:96" ht="15" customHeight="1">
      <c r="A86" s="204" t="s">
        <v>88</v>
      </c>
      <c r="B86" s="57"/>
      <c r="C86" s="164"/>
      <c r="D86" s="162"/>
      <c r="E86" s="163"/>
      <c r="F86" s="58"/>
      <c r="G86" s="5" t="str">
        <f t="shared" si="63"/>
        <v/>
      </c>
      <c r="H86" s="7"/>
      <c r="I86" s="7"/>
      <c r="J86" s="7"/>
      <c r="K86" s="7"/>
      <c r="L86" s="7"/>
      <c r="X86" s="5"/>
      <c r="Y86" s="5"/>
      <c r="Z86" s="5"/>
      <c r="AA86" s="5"/>
      <c r="AB86" s="6"/>
      <c r="BJ86" s="2"/>
      <c r="BK86" s="2"/>
      <c r="BL86" s="2"/>
      <c r="BM86" s="2"/>
      <c r="CA86" s="6"/>
      <c r="CB86" s="6"/>
      <c r="CC86" s="142" t="str">
        <f>IF(AND($B86+C86&lt;&gt;0,D86=""),"* No olvide ingresar la variable "&amp;D$83&amp;""&amp;". Digite Cero si no tiene.",IF(D86&gt;$B86+$C86,"* La variable Trans Masculino no puede superar a Mujeres con MRS al ingreso. ",""))</f>
        <v/>
      </c>
      <c r="CD86" s="142" t="str">
        <f>IF(AND($B86+$C86&lt;&gt;0,E86=""),"* No olvide ingresar la variable "&amp;E$83&amp;""&amp;". Digite Cero si no tiene.",IF(E86&gt;$B86+$C86,"* La variable Pueblos Originarios no puede superar a Mujeres con MRS al ingreso. ",""))</f>
        <v/>
      </c>
      <c r="CE86" s="142" t="str">
        <f>IF(AND($B86+$C86&lt;&gt;0,F86=""),"* No olvide ingresar la variable "&amp;F$83&amp;""&amp;". Digite Cero si no tiene.",IF(F86&gt;$B86+$C86,"* La variable Migrantes no puede superar a Mujeres con MRS al ingreso. ",""))</f>
        <v/>
      </c>
      <c r="CN86" s="34"/>
      <c r="CO86" s="34"/>
      <c r="CP86" s="34">
        <f t="shared" si="60"/>
        <v>0</v>
      </c>
      <c r="CQ86" s="34">
        <f t="shared" si="61"/>
        <v>0</v>
      </c>
      <c r="CR86" s="34">
        <f t="shared" si="62"/>
        <v>0</v>
      </c>
    </row>
    <row r="87" spans="1:96" ht="15" customHeight="1">
      <c r="A87" s="204" t="s">
        <v>862</v>
      </c>
      <c r="B87" s="57"/>
      <c r="C87" s="164"/>
      <c r="D87" s="162"/>
      <c r="E87" s="163"/>
      <c r="F87" s="58"/>
      <c r="G87" s="5" t="str">
        <f t="shared" si="63"/>
        <v/>
      </c>
      <c r="H87" s="7"/>
      <c r="I87" s="7"/>
      <c r="J87" s="7"/>
      <c r="K87" s="7"/>
      <c r="L87" s="7"/>
      <c r="X87" s="5"/>
      <c r="Y87" s="5"/>
      <c r="Z87" s="5"/>
      <c r="AA87" s="5"/>
      <c r="AB87" s="6"/>
      <c r="BJ87" s="2"/>
      <c r="BK87" s="2"/>
      <c r="BL87" s="2"/>
      <c r="BM87" s="2"/>
      <c r="CA87" s="6"/>
      <c r="CB87" s="6"/>
      <c r="CC87" s="142" t="str">
        <f>IF(AND($B87+C87&lt;&gt;0,D87=""),"* No olvide ingresar la variable "&amp;D$83&amp;""&amp;". Digite Cero si no tiene.",IF(D87&gt;$B87+$C87,"* La variable Trans Masculino no puede superar a Mujeres con MRS en control. ",""))</f>
        <v/>
      </c>
      <c r="CD87" s="142" t="str">
        <f>IF(AND($B87+$C87&lt;&gt;0,E87=""),"* No olvide ingresar la variable "&amp;E$83&amp;""&amp;". Digite Cero si no tiene.",IF(E87&gt;$B87+$C87,"* La variable Pueblos Originarios no puede superar a Mujeres con MRS en control. ",""))</f>
        <v/>
      </c>
      <c r="CE87" s="142" t="str">
        <f>IF(AND($B87+$C87&lt;&gt;0,F87=""),"* No olvide ingresar la variable "&amp;F$83&amp;""&amp;". Digite Cero si no tiene.",IF(F87&gt;$B87+$C87,"* La variable Migrantes no puede superar a Mujeres con MRS en control. ",""))</f>
        <v/>
      </c>
      <c r="CN87" s="34"/>
      <c r="CO87" s="34"/>
      <c r="CP87" s="34">
        <f t="shared" si="60"/>
        <v>0</v>
      </c>
      <c r="CQ87" s="34">
        <f t="shared" si="61"/>
        <v>0</v>
      </c>
      <c r="CR87" s="34">
        <f t="shared" si="62"/>
        <v>0</v>
      </c>
    </row>
    <row r="88" spans="1:96" ht="15" customHeight="1">
      <c r="A88" s="321" t="s">
        <v>89</v>
      </c>
      <c r="B88" s="74"/>
      <c r="C88" s="207"/>
      <c r="D88" s="208"/>
      <c r="E88" s="143"/>
      <c r="F88" s="75"/>
      <c r="G88" s="5" t="str">
        <f t="shared" si="63"/>
        <v/>
      </c>
      <c r="H88" s="7"/>
      <c r="I88" s="7"/>
      <c r="J88" s="7"/>
      <c r="K88" s="7"/>
      <c r="L88" s="7"/>
      <c r="X88" s="5"/>
      <c r="Y88" s="5"/>
      <c r="Z88" s="5"/>
      <c r="AA88" s="5"/>
      <c r="AB88" s="6"/>
      <c r="BJ88" s="2"/>
      <c r="BK88" s="2"/>
      <c r="BL88" s="2"/>
      <c r="BM88" s="2"/>
      <c r="CA88" s="142" t="str">
        <f>IF(B88&gt;B85,"* El Nº de Mujeres con MRS elevado* no debe ser mayor al Nº de Mujeres con pauta aplicada MRS Población "&amp;B$83&amp;""&amp;". ","")</f>
        <v/>
      </c>
      <c r="CB88" s="142" t="str">
        <f>IF(C88&gt;C85,"* El Nº de Mujeres con MRS elevado* no debe ser mayor al Nº de Mujeres con pauta aplicada MRS del grupo"&amp;C$83&amp;""&amp;". ","")</f>
        <v/>
      </c>
      <c r="CC88" s="142" t="str">
        <f>IF(AND($B88+C88&lt;&gt;0,D88=""),"* No olvide ingresar la variable "&amp;D$83&amp;""&amp;". Digite Cero si no tiene.",IF(D88&gt;$B88+$C88,"* La variable Trans Masculino no puede superar a Mujeres con MRS elevado*. ",""))</f>
        <v/>
      </c>
      <c r="CD88" s="142" t="str">
        <f>IF(AND($B88+$C88&lt;&gt;0,E88=""),"* No olvide ingresar la variable "&amp;E$83&amp;""&amp;". Digite Cero si no tiene.",IF(E88&gt;$B88+$C88,"* La variable Pueblos Originarios no puede superar a Mujeres con MRS elevado*. ",""))</f>
        <v/>
      </c>
      <c r="CE88" s="142" t="str">
        <f>IF(AND($B88+$C88&lt;&gt;0,F88=""),"* No olvide ingresar la variable "&amp;F$83&amp;""&amp;". Digite Cero si no tiene.",IF(F88&gt;$B88+$C88,"* La variable Migrantes no puede superar a Mujeres con MRS elevado*. ",""))</f>
        <v/>
      </c>
      <c r="CN88" s="34">
        <f>IF($B88&gt;$B85,1,0)</f>
        <v>0</v>
      </c>
      <c r="CO88" s="34">
        <f>IF($C88&gt;$C85,1,0)</f>
        <v>0</v>
      </c>
      <c r="CP88" s="34">
        <f t="shared" si="60"/>
        <v>0</v>
      </c>
      <c r="CQ88" s="34">
        <f t="shared" si="61"/>
        <v>0</v>
      </c>
      <c r="CR88" s="34">
        <f t="shared" si="62"/>
        <v>0</v>
      </c>
    </row>
    <row r="89" spans="1:96" ht="21.75" customHeight="1">
      <c r="A89" s="322" t="s">
        <v>90</v>
      </c>
      <c r="B89" s="57"/>
      <c r="C89" s="164"/>
      <c r="D89" s="209"/>
      <c r="E89" s="163"/>
      <c r="F89" s="58"/>
      <c r="G89" s="5" t="str">
        <f t="shared" si="63"/>
        <v/>
      </c>
      <c r="H89" s="7"/>
      <c r="I89" s="7"/>
      <c r="J89" s="7"/>
      <c r="K89" s="7"/>
      <c r="L89" s="7"/>
      <c r="X89" s="5"/>
      <c r="Y89" s="5"/>
      <c r="Z89" s="5"/>
      <c r="AA89" s="5"/>
      <c r="AB89" s="6"/>
      <c r="BJ89" s="2"/>
      <c r="BK89" s="2"/>
      <c r="BL89" s="2"/>
      <c r="BM89" s="2"/>
      <c r="CA89" s="142" t="str">
        <f>IF($B89&gt;$B88,"* El Nº de Mujeres con aplicación de terapia hormonal de la menopausia según MRS* no debe ser mayor que el numero de Mujeres con MRS elevado* Población "&amp;B$83&amp;""&amp;". ","")</f>
        <v/>
      </c>
      <c r="CB89" s="142" t="str">
        <f>IF($C89&gt;$C88,"* El Nº de Mujeres con aplicación de terapia hormonal de la menopausia según MRS* no debe ser mayor que el numero de Mujeres con MRS elevado* Población "&amp;C$83&amp;""&amp;". ","")</f>
        <v/>
      </c>
      <c r="CC89" s="210"/>
      <c r="CD89" s="142" t="str">
        <f>IF(AND($B89+$C89&lt;&gt;0,E89=""),"* No olvide ingresar la variable "&amp;E$83&amp;""&amp;". Digite Cero si no tiene.",IF(E89&gt;$B89+$C89,"* La variable Pueblos Originarios no puede superar a Mujeres con aplicación de terapia hormonal de la menopausia según MRS*. ",""))</f>
        <v/>
      </c>
      <c r="CE89" s="142" t="str">
        <f>IF(AND($B89+$C89&lt;&gt;0,F89=""),"* No olvide ingresar la variable "&amp;F$83&amp;""&amp;". Digite Cero si no tiene.",IF(F89&gt;$B89+$C89,"* La variable Migrantes no puede superar a Mujeres con aplicación de terapia hormonal de la menopausia según MRS*. ",""))</f>
        <v/>
      </c>
      <c r="CN89" s="34">
        <f>IF($B89&gt;$B88,1,0)</f>
        <v>0</v>
      </c>
      <c r="CO89" s="34">
        <f>IF($B89&gt;$B88,1,0)</f>
        <v>0</v>
      </c>
      <c r="CP89" s="210">
        <f t="shared" si="60"/>
        <v>0</v>
      </c>
      <c r="CQ89" s="34">
        <f t="shared" si="61"/>
        <v>0</v>
      </c>
      <c r="CR89" s="34">
        <f t="shared" si="62"/>
        <v>0</v>
      </c>
    </row>
    <row r="90" spans="1:96" ht="21" customHeight="1">
      <c r="A90" s="322" t="s">
        <v>90</v>
      </c>
      <c r="B90" s="57"/>
      <c r="C90" s="164"/>
      <c r="D90" s="209"/>
      <c r="E90" s="163"/>
      <c r="F90" s="58"/>
      <c r="G90" s="5" t="str">
        <f t="shared" si="63"/>
        <v/>
      </c>
      <c r="H90" s="7"/>
      <c r="I90" s="7"/>
      <c r="J90" s="7"/>
      <c r="K90" s="7"/>
      <c r="L90" s="7"/>
      <c r="X90" s="5"/>
      <c r="Y90" s="5"/>
      <c r="Z90" s="5"/>
      <c r="AA90" s="5"/>
      <c r="AB90" s="6"/>
      <c r="BJ90" s="2"/>
      <c r="BK90" s="2"/>
      <c r="BL90" s="2"/>
      <c r="BM90" s="2"/>
      <c r="CA90" s="6"/>
      <c r="CB90" s="6"/>
      <c r="CC90" s="210"/>
      <c r="CD90" s="142" t="str">
        <f>IF(AND($B90+$C90&lt;&gt;0,E90=""),"* No olvide ingresar la variable "&amp;E$83&amp;""&amp;". Digite Cero si no tiene.",IF(E90&gt;$B90+$C90,"* La variable Pueblos Originarios no puede superar a Mujeres que disminuyeron puntaje de MRS o se mantienen en MRS bajo, según MRS de control. ",""))</f>
        <v/>
      </c>
      <c r="CE90" s="142" t="str">
        <f>IF(AND($B90+$C90&lt;&gt;0,F90=""),"* No olvide ingresar la variable "&amp;F$83&amp;""&amp;". Digite Cero si no tiene.",IF(F90&gt;$B90+$C90,"* La variable Migrantes no puede superar a Mujeres que disminuyeron puntaje de MRS o se mantienen en MRS bajo, según MRS de control. ",""))</f>
        <v/>
      </c>
      <c r="CP90" s="210">
        <f>IF(AND($B90+C90&lt;&gt;0,D90=""),1,IF(D90&gt;$B90+$C90,1,0))</f>
        <v>0</v>
      </c>
      <c r="CQ90" s="34">
        <f>IF(AND($B90+$C90&lt;&gt;0,E90=""),1,IF(E90&gt;$B90+$C90,1,0))</f>
        <v>0</v>
      </c>
      <c r="CR90" s="34">
        <f>IF(AND($B90+C90&lt;&gt;0,F90=""),1,IF(F90&gt;$B90+$C90,1,0))</f>
        <v>0</v>
      </c>
    </row>
    <row r="91" spans="1:96" ht="15" customHeight="1">
      <c r="A91" s="323" t="s">
        <v>91</v>
      </c>
      <c r="B91" s="41"/>
      <c r="C91" s="211"/>
      <c r="D91" s="212"/>
      <c r="E91" s="110"/>
      <c r="F91" s="42"/>
      <c r="G91" s="5" t="str">
        <f>($CA91&amp;$CB91&amp;CC91&amp;CD91&amp;CE91)</f>
        <v/>
      </c>
      <c r="H91" s="7"/>
      <c r="I91" s="7"/>
      <c r="J91" s="7"/>
      <c r="K91" s="7"/>
      <c r="L91" s="7"/>
      <c r="X91" s="5"/>
      <c r="Y91" s="5"/>
      <c r="Z91" s="5"/>
      <c r="AA91" s="5"/>
      <c r="AB91" s="6"/>
      <c r="BJ91" s="2"/>
      <c r="BK91" s="2"/>
      <c r="BL91" s="2"/>
      <c r="BM91" s="2"/>
      <c r="CA91" s="6"/>
      <c r="CB91" s="6"/>
      <c r="CC91" s="142" t="str">
        <f>IF(AND($B91+C91&lt;&gt;0,D91=""),"* No olvide ingresar la variable "&amp;D$83&amp;""&amp;". Digite Cero si no tiene.",IF(D91&gt;$B91+$C91,"* La variable Trans Masculino no puede superar a Mujeres que asisten a Talleres Educativos. ",""))</f>
        <v/>
      </c>
      <c r="CD91" s="142" t="str">
        <f>IF(AND($B91+$C91&lt;&gt;0,E91=""),"* No olvide ingresar la variable "&amp;E$83&amp;""&amp;". Digite Cero si no tiene.",IF(E91&gt;$B91+$C91,"* La variable Pueblos Originarios no puede superar a Mujeres que asisten a Talleres Educativos. ",""))</f>
        <v/>
      </c>
      <c r="CE91" s="142" t="str">
        <f>IF(AND($B91+$C91&lt;&gt;0,F91=""),"* No olvide ingresar la variable "&amp;F$83&amp;""&amp;". Digite Cero si no tiene.",IF(F91&gt;$B91+$C91,"* La variable Migrantes no puede superar a Mujeres que asisten a Talleres Educativos. ",""))</f>
        <v/>
      </c>
      <c r="CP91" s="34">
        <f>IF(AND($B91+C91&lt;&gt;0,D91=""),1,IF(D91&gt;$B91+$C91,1,0))</f>
        <v>0</v>
      </c>
      <c r="CQ91" s="34">
        <f>IF(AND($B91+$C91&lt;&gt;0,E91=""),1,IF(E91&gt;$B91+$C91,1,0))</f>
        <v>0</v>
      </c>
      <c r="CR91" s="34">
        <f>IF(AND($B91+C91&lt;&gt;0,F91=""),1,IF(F91&gt;$B91+$C91,1,0))</f>
        <v>0</v>
      </c>
    </row>
    <row r="92" spans="1:96" ht="17.149999999999999" customHeight="1">
      <c r="A92" s="1691" t="s">
        <v>92</v>
      </c>
      <c r="B92" s="1691"/>
      <c r="C92" s="174"/>
      <c r="D92" s="7"/>
      <c r="E92" s="7"/>
      <c r="F92" s="7"/>
      <c r="G92" s="7"/>
      <c r="H92" s="7"/>
    </row>
    <row r="93" spans="1:96" ht="17.149999999999999" customHeight="1">
      <c r="A93" s="1683" t="s">
        <v>93</v>
      </c>
      <c r="B93" s="1684"/>
      <c r="C93" s="1684"/>
      <c r="D93" s="1684"/>
      <c r="E93" s="1684"/>
      <c r="F93" s="1684"/>
      <c r="G93" s="1684"/>
      <c r="H93" s="1684"/>
      <c r="I93" s="8"/>
      <c r="J93" s="8"/>
      <c r="K93" s="174"/>
      <c r="L93" s="174"/>
      <c r="M93" s="174"/>
      <c r="N93" s="174"/>
    </row>
    <row r="94" spans="1:96" ht="15" customHeight="1">
      <c r="A94" s="1692" t="s">
        <v>4</v>
      </c>
      <c r="B94" s="1693"/>
      <c r="C94" s="1696" t="s">
        <v>5</v>
      </c>
      <c r="D94" s="1698" t="s">
        <v>6</v>
      </c>
      <c r="E94" s="1699"/>
      <c r="F94" s="1699"/>
      <c r="G94" s="1699"/>
      <c r="H94" s="1699"/>
      <c r="I94" s="1700" t="s">
        <v>7</v>
      </c>
      <c r="J94" s="1701" t="s">
        <v>58</v>
      </c>
    </row>
    <row r="95" spans="1:96" ht="20">
      <c r="A95" s="1694"/>
      <c r="B95" s="1695"/>
      <c r="C95" s="1697"/>
      <c r="D95" s="135" t="s">
        <v>94</v>
      </c>
      <c r="E95" s="10" t="s">
        <v>19</v>
      </c>
      <c r="F95" s="10" t="s">
        <v>20</v>
      </c>
      <c r="G95" s="11" t="s">
        <v>95</v>
      </c>
      <c r="H95" s="337" t="s">
        <v>22</v>
      </c>
      <c r="I95" s="1700"/>
      <c r="J95" s="1701"/>
    </row>
    <row r="96" spans="1:96" ht="15" customHeight="1">
      <c r="A96" s="1702" t="s">
        <v>154</v>
      </c>
      <c r="B96" s="1703"/>
      <c r="C96" s="22">
        <f>SUM(D96:H96)</f>
        <v>0</v>
      </c>
      <c r="D96" s="27"/>
      <c r="E96" s="23"/>
      <c r="F96" s="23"/>
      <c r="G96" s="23"/>
      <c r="H96" s="23"/>
      <c r="I96" s="26"/>
      <c r="J96" s="28"/>
      <c r="K96" s="5" t="str">
        <f>($CA96&amp;$CB96)</f>
        <v/>
      </c>
      <c r="CA96" s="142" t="str">
        <f>IF(AND($C96&lt;&gt;0,I96=""),"* No olvide ingresar la variable "&amp;I$94&amp;""&amp;". Digite Cero si no tiene.",IF(I96&gt;$C96,"* La variable Pueblos Originarios no puede superar el TOTAL Estradiol Micronizado 1mg. ",""))</f>
        <v/>
      </c>
      <c r="CB96" s="142" t="str">
        <f>IF(AND($C96&lt;&gt;0,J96=""),"* No olvide ingresar la variable "&amp;J$94&amp;""&amp;". Digite Cero si no tiene.",IF(J96&gt;$C96,"* La variable Migrantes no puede superar el TOTAL Estradiol Micronizado 1mg. ",""))</f>
        <v/>
      </c>
      <c r="CN96" s="34">
        <f>IF(AND($C96&lt;&gt;0,$I96=""),1,IF($I96&gt;$C96,1,0))</f>
        <v>0</v>
      </c>
      <c r="CO96" s="34">
        <f>IF(AND($C96&lt;&gt;0,J96=""),1,IF(J96&gt;$C96,1,0))</f>
        <v>0</v>
      </c>
    </row>
    <row r="97" spans="1:93" ht="15" customHeight="1">
      <c r="A97" s="330" t="s">
        <v>96</v>
      </c>
      <c r="B97" s="331"/>
      <c r="C97" s="69">
        <f t="shared" ref="C97:C102" si="64">SUM(D97:H97)</f>
        <v>0</v>
      </c>
      <c r="D97" s="54"/>
      <c r="E97" s="54"/>
      <c r="F97" s="163"/>
      <c r="G97" s="163"/>
      <c r="H97" s="163"/>
      <c r="I97" s="68"/>
      <c r="J97" s="58"/>
      <c r="K97" s="5" t="str">
        <f t="shared" ref="K97:K101" si="65">($CA97&amp;$CB97)</f>
        <v/>
      </c>
      <c r="CA97" s="142" t="str">
        <f>IF(AND($C97&lt;&gt;0,I97=""),"* No olvide ingresar la variable "&amp;I$94&amp;""&amp;". Digite Cero si no tiene.",IF(I97&gt;$C97,"* La variable Pueblos Originarios no puede superar el TOTAL Estradiol Gel. ",""))</f>
        <v/>
      </c>
      <c r="CB97" s="142" t="str">
        <f>IF(AND($C97&lt;&gt;0,J97=""),"* No olvide ingresar la variable "&amp;J$94&amp;""&amp;". Digite Cero si no tiene.",IF(J97&gt;$C97,"* La variable Migrantes no puede superar el TOTAL Estradiol Gel. ",""))</f>
        <v/>
      </c>
      <c r="CN97" s="34">
        <f t="shared" ref="CN97:CN102" si="66">IF(AND($C97&lt;&gt;0,$I97=""),1,IF($I97&gt;$C97,1,0))</f>
        <v>0</v>
      </c>
      <c r="CO97" s="34">
        <f t="shared" ref="CO97:CO101" si="67">IF(AND($C97&lt;&gt;0,J97=""),1,IF(J97&gt;$C97,1,0))</f>
        <v>0</v>
      </c>
    </row>
    <row r="98" spans="1:93" ht="15" customHeight="1">
      <c r="A98" s="1670" t="s">
        <v>155</v>
      </c>
      <c r="B98" s="1671"/>
      <c r="C98" s="45">
        <f t="shared" si="64"/>
        <v>0</v>
      </c>
      <c r="D98" s="46"/>
      <c r="E98" s="46"/>
      <c r="F98" s="46"/>
      <c r="G98" s="46"/>
      <c r="H98" s="46"/>
      <c r="I98" s="49"/>
      <c r="J98" s="51"/>
      <c r="K98" s="5" t="str">
        <f t="shared" si="65"/>
        <v/>
      </c>
      <c r="CA98" s="142" t="str">
        <f>IF(AND($C98&lt;&gt;0,I98=""),"* No olvide ingresar la variable "&amp;I$94&amp;""&amp;". Digite Cero si no tiene.",IF(I98&gt;$C98,"* La variable Pueblos Originarios no puede superar el TOTAL Progesterona Micronizada 100mg. ",""))</f>
        <v/>
      </c>
      <c r="CB98" s="142" t="str">
        <f>IF(AND($C98&lt;&gt;0,J98=""),"* No olvide ingresar la variable "&amp;J$94&amp;""&amp;". Digite Cero si no tiene.",IF(J98&gt;$C98,"* La variable Migrantes no puede superar el TOTAL Progesterona Micronizada 100mg. ",""))</f>
        <v/>
      </c>
      <c r="CN98" s="34">
        <f t="shared" si="66"/>
        <v>0</v>
      </c>
      <c r="CO98" s="34">
        <f t="shared" si="67"/>
        <v>0</v>
      </c>
    </row>
    <row r="99" spans="1:93" ht="15" customHeight="1">
      <c r="A99" s="1670" t="s">
        <v>156</v>
      </c>
      <c r="B99" s="1671"/>
      <c r="C99" s="69">
        <f t="shared" si="64"/>
        <v>0</v>
      </c>
      <c r="D99" s="54"/>
      <c r="E99" s="54"/>
      <c r="F99" s="54"/>
      <c r="G99" s="54"/>
      <c r="H99" s="54"/>
      <c r="I99" s="68"/>
      <c r="J99" s="58"/>
      <c r="K99" s="5" t="str">
        <f t="shared" si="65"/>
        <v/>
      </c>
      <c r="CA99" s="142" t="str">
        <f>IF(AND($C99&lt;&gt;0,I99=""),"* No olvide ingresar la variable "&amp;I$94&amp;""&amp;". Digite Cero si no tiene.",IF(I99&gt;$C99,"* La variable Pueblos Originarios no puede superar el TOTAL Progesterona Micronizada 200mg.",""))</f>
        <v/>
      </c>
      <c r="CB99" s="142" t="str">
        <f>IF(AND($C99&lt;&gt;0,J99=""),"* No olvide ingresar la variable "&amp;J$94&amp;""&amp;". Digite Cero si no tiene.",IF(J99&gt;$C99,"* La variable Migrantes no puede superar el TOTAL Progesterona Micronizada 200mg.",""))</f>
        <v/>
      </c>
      <c r="CN99" s="34">
        <f t="shared" si="66"/>
        <v>0</v>
      </c>
      <c r="CO99" s="34">
        <f t="shared" si="67"/>
        <v>0</v>
      </c>
    </row>
    <row r="100" spans="1:93" ht="15" customHeight="1">
      <c r="A100" s="1670" t="s">
        <v>157</v>
      </c>
      <c r="B100" s="1671"/>
      <c r="C100" s="69">
        <f t="shared" si="64"/>
        <v>0</v>
      </c>
      <c r="D100" s="54"/>
      <c r="E100" s="54"/>
      <c r="F100" s="54"/>
      <c r="G100" s="54"/>
      <c r="H100" s="54"/>
      <c r="I100" s="68"/>
      <c r="J100" s="58"/>
      <c r="K100" s="5" t="str">
        <f t="shared" si="65"/>
        <v/>
      </c>
      <c r="CA100" s="142" t="str">
        <f>IF(AND($C100&lt;&gt;0,I100=""),"* No olvide ingresar la variable "&amp;I$94&amp;""&amp;". Digite Cero si no tiene.",IF(I100&gt;$C100,"* La variable Pueblos Originarios no puede superar el TOTAL Nomegestrol 5mg. comp. ",""))</f>
        <v/>
      </c>
      <c r="CB100" s="142" t="str">
        <f>IF(AND($C100&lt;&gt;0,J100=""),"* No olvide ingresar la variable "&amp;J$94&amp;""&amp;". Digite Cero si no tiene.",IF(J100&gt;$C100,"* La variable Migrantes no puede superar el TOTAL Nomegestrol 5mg. comp. ",""))</f>
        <v/>
      </c>
      <c r="CN100" s="34">
        <f t="shared" si="66"/>
        <v>0</v>
      </c>
      <c r="CO100" s="34">
        <f t="shared" si="67"/>
        <v>0</v>
      </c>
    </row>
    <row r="101" spans="1:93" ht="15" customHeight="1">
      <c r="A101" s="1670" t="s">
        <v>158</v>
      </c>
      <c r="B101" s="1671"/>
      <c r="C101" s="69">
        <f t="shared" si="64"/>
        <v>0</v>
      </c>
      <c r="D101" s="54"/>
      <c r="E101" s="54"/>
      <c r="F101" s="54"/>
      <c r="G101" s="54"/>
      <c r="H101" s="54"/>
      <c r="I101" s="68"/>
      <c r="J101" s="58"/>
      <c r="K101" s="5" t="str">
        <f t="shared" si="65"/>
        <v/>
      </c>
      <c r="CA101" s="142" t="str">
        <f>IF(AND($C101&lt;&gt;0,I101=""),"* No olvide ingresar la variable "&amp;I$94&amp;""&amp;". Digite Cero si no tiene.",IF(I101&gt;$C101,"* La variable Pueblos Originarios no puede superar el TOTAL Tibolona 2,5mg. comp. ",""))</f>
        <v/>
      </c>
      <c r="CB101" s="142" t="str">
        <f>IF(AND($C101&lt;&gt;0,J101=""),"* No olvide ingresar la variable "&amp;J$94&amp;""&amp;". Digite Cero si no tiene.",IF(J101&gt;$C101,"* La variable Migrantes no puede superar el TOTAL Tibolona 2,5mg. comp. ",""))</f>
        <v/>
      </c>
      <c r="CN101" s="34">
        <f>IF(AND($C101&lt;&gt;0,$I101=""),1,IF($I101&gt;$C101,1,0))</f>
        <v>0</v>
      </c>
      <c r="CO101" s="34">
        <f t="shared" si="67"/>
        <v>0</v>
      </c>
    </row>
    <row r="102" spans="1:93" ht="15" customHeight="1">
      <c r="A102" s="1673" t="s">
        <v>97</v>
      </c>
      <c r="B102" s="1674"/>
      <c r="C102" s="78">
        <f t="shared" si="64"/>
        <v>0</v>
      </c>
      <c r="D102" s="79"/>
      <c r="E102" s="79"/>
      <c r="F102" s="79"/>
      <c r="G102" s="79"/>
      <c r="H102" s="79"/>
      <c r="I102" s="80"/>
      <c r="J102" s="82"/>
      <c r="K102" s="5" t="str">
        <f>($CA102&amp;$CB102)</f>
        <v/>
      </c>
      <c r="CA102" s="142" t="str">
        <f>IF(AND($C102&lt;&gt;0,I102=""),"* No olvide ingresar la variable "&amp;I$94&amp;""&amp;". Digite Cero si no tiene.",IF(I102&gt;$C102,"* La variable Pueblos Originarios no puede superar el TOTAL Terapia Dual. ",""))</f>
        <v/>
      </c>
      <c r="CB102" s="142" t="str">
        <f>IF(AND($C102&lt;&gt;0,J102=""),"* No olvide ingresar la variable "&amp;J$94&amp;""&amp;". Digite Cero si no tiene.",IF(J102&gt;$C102,"* La variable Migrantes no puede superar el TOTAL Terapia Dual. ",""))</f>
        <v/>
      </c>
      <c r="CN102" s="34">
        <f t="shared" si="66"/>
        <v>0</v>
      </c>
      <c r="CO102" s="34">
        <f>IF(AND($C102&lt;&gt;0,J102=""),1,IF(J102&gt;$C102,1,0))</f>
        <v>0</v>
      </c>
    </row>
    <row r="103" spans="1:93" ht="17.149999999999999" customHeight="1">
      <c r="A103" s="1675" t="s">
        <v>98</v>
      </c>
      <c r="B103" s="1676"/>
      <c r="C103" s="1676"/>
      <c r="D103" s="1676"/>
      <c r="E103" s="1676"/>
      <c r="F103" s="174"/>
      <c r="G103" s="174"/>
      <c r="H103" s="174"/>
    </row>
    <row r="104" spans="1:93" ht="15" customHeight="1">
      <c r="A104" s="1677" t="s">
        <v>70</v>
      </c>
      <c r="B104" s="1679" t="s">
        <v>99</v>
      </c>
      <c r="C104" s="1680"/>
      <c r="D104" s="2399" t="s">
        <v>100</v>
      </c>
      <c r="E104" s="2400" t="s">
        <v>101</v>
      </c>
      <c r="G104" s="195"/>
      <c r="H104" s="7"/>
      <c r="I104" s="7"/>
      <c r="W104" s="6"/>
      <c r="X104" s="2"/>
      <c r="BI104" s="6"/>
    </row>
    <row r="105" spans="1:93" ht="15" customHeight="1">
      <c r="A105" s="1678"/>
      <c r="B105" s="332" t="s">
        <v>102</v>
      </c>
      <c r="C105" s="333" t="s">
        <v>103</v>
      </c>
      <c r="D105" s="1681"/>
      <c r="E105" s="1682"/>
      <c r="G105" s="195"/>
      <c r="H105" s="7"/>
      <c r="I105" s="7"/>
      <c r="W105" s="6"/>
      <c r="X105" s="2"/>
      <c r="BI105" s="6"/>
    </row>
    <row r="106" spans="1:93" ht="15" customHeight="1">
      <c r="A106" s="214" t="s">
        <v>104</v>
      </c>
      <c r="B106" s="27"/>
      <c r="C106" s="30"/>
      <c r="D106" s="27"/>
      <c r="E106" s="30"/>
      <c r="H106" s="7"/>
      <c r="I106" s="7"/>
      <c r="W106" s="6"/>
      <c r="X106" s="2"/>
      <c r="BI106" s="6"/>
    </row>
    <row r="107" spans="1:93" ht="15" customHeight="1">
      <c r="A107" s="215" t="s">
        <v>105</v>
      </c>
      <c r="B107" s="57"/>
      <c r="C107" s="60"/>
      <c r="D107" s="57"/>
      <c r="E107" s="60"/>
      <c r="H107" s="7"/>
      <c r="I107" s="7"/>
      <c r="W107" s="6"/>
      <c r="X107" s="2"/>
      <c r="BI107" s="6"/>
    </row>
    <row r="108" spans="1:93" ht="15" customHeight="1">
      <c r="A108" s="215" t="s">
        <v>106</v>
      </c>
      <c r="B108" s="57"/>
      <c r="C108" s="60"/>
      <c r="D108" s="57"/>
      <c r="E108" s="60"/>
      <c r="H108" s="7"/>
      <c r="I108" s="7"/>
      <c r="W108" s="6"/>
      <c r="X108" s="2"/>
      <c r="BI108" s="6"/>
    </row>
    <row r="109" spans="1:93" ht="15" customHeight="1">
      <c r="A109" s="215" t="s">
        <v>107</v>
      </c>
      <c r="B109" s="57"/>
      <c r="C109" s="60"/>
      <c r="D109" s="57"/>
      <c r="E109" s="60"/>
      <c r="H109" s="7"/>
      <c r="I109" s="7"/>
      <c r="W109" s="6"/>
      <c r="X109" s="2"/>
      <c r="BI109" s="6"/>
    </row>
    <row r="110" spans="1:93" ht="15" customHeight="1">
      <c r="A110" s="215" t="s">
        <v>108</v>
      </c>
      <c r="B110" s="57"/>
      <c r="C110" s="60"/>
      <c r="D110" s="57"/>
      <c r="E110" s="60"/>
      <c r="H110" s="7"/>
      <c r="I110" s="7"/>
      <c r="W110" s="6"/>
      <c r="X110" s="2"/>
      <c r="BI110" s="6"/>
    </row>
    <row r="111" spans="1:93" ht="15" customHeight="1">
      <c r="A111" s="215" t="s">
        <v>109</v>
      </c>
      <c r="B111" s="57"/>
      <c r="C111" s="60"/>
      <c r="D111" s="57"/>
      <c r="E111" s="60"/>
      <c r="H111" s="7"/>
      <c r="I111" s="7"/>
      <c r="W111" s="6"/>
      <c r="X111" s="2"/>
      <c r="BI111" s="6"/>
    </row>
    <row r="112" spans="1:93" s="7" customFormat="1" ht="15" customHeight="1">
      <c r="A112" s="215" t="s">
        <v>110</v>
      </c>
      <c r="B112" s="57"/>
      <c r="C112" s="60"/>
      <c r="D112" s="57"/>
      <c r="E112" s="60"/>
      <c r="G112" s="5"/>
      <c r="J112" s="5"/>
      <c r="K112" s="5"/>
      <c r="L112" s="5"/>
      <c r="M112" s="5"/>
      <c r="N112" s="5"/>
      <c r="O112" s="5"/>
      <c r="W112" s="216"/>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6"/>
      <c r="BJ112" s="6"/>
      <c r="BK112" s="6"/>
      <c r="BL112" s="6"/>
      <c r="BM112" s="6"/>
      <c r="BN112" s="6"/>
      <c r="BO112" s="6"/>
      <c r="BP112" s="216"/>
      <c r="BQ112" s="216"/>
      <c r="BR112" s="216"/>
      <c r="BS112" s="216"/>
      <c r="BT112" s="216"/>
      <c r="BU112" s="216"/>
      <c r="BV112" s="216"/>
      <c r="BW112" s="216"/>
      <c r="BX112" s="216"/>
      <c r="BY112" s="216"/>
      <c r="CA112" s="5"/>
      <c r="CJ112" s="5"/>
    </row>
    <row r="113" spans="1:95" s="7" customFormat="1" ht="15" customHeight="1">
      <c r="A113" s="215" t="s">
        <v>111</v>
      </c>
      <c r="B113" s="57"/>
      <c r="C113" s="60"/>
      <c r="D113" s="57"/>
      <c r="E113" s="60"/>
      <c r="G113" s="5"/>
      <c r="J113" s="5"/>
      <c r="K113" s="5"/>
      <c r="L113" s="5"/>
      <c r="M113" s="5"/>
      <c r="N113" s="5"/>
      <c r="O113" s="5"/>
      <c r="W113" s="216"/>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6"/>
      <c r="BJ113" s="6"/>
      <c r="BK113" s="6"/>
      <c r="BL113" s="6"/>
      <c r="BM113" s="6"/>
      <c r="BN113" s="6"/>
      <c r="BO113" s="6"/>
      <c r="BP113" s="216"/>
      <c r="BQ113" s="216"/>
      <c r="BR113" s="216"/>
      <c r="BS113" s="216"/>
      <c r="BT113" s="216"/>
      <c r="BU113" s="216"/>
      <c r="BV113" s="216"/>
      <c r="BW113" s="216"/>
      <c r="BX113" s="216"/>
      <c r="BY113" s="216"/>
      <c r="CA113" s="5"/>
      <c r="CJ113" s="5"/>
    </row>
    <row r="114" spans="1:95" s="7" customFormat="1" ht="15" customHeight="1">
      <c r="A114" s="217" t="s">
        <v>112</v>
      </c>
      <c r="B114" s="81"/>
      <c r="C114" s="84"/>
      <c r="D114" s="81"/>
      <c r="E114" s="84"/>
      <c r="G114" s="5"/>
      <c r="J114" s="5"/>
      <c r="K114" s="5"/>
      <c r="L114" s="5"/>
      <c r="M114" s="5"/>
      <c r="N114" s="5"/>
      <c r="O114" s="5"/>
      <c r="W114" s="216"/>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16"/>
      <c r="BJ114" s="216"/>
      <c r="BK114" s="216"/>
      <c r="BL114" s="216"/>
      <c r="BM114" s="216"/>
      <c r="BN114" s="216"/>
      <c r="BO114" s="216"/>
      <c r="BP114" s="216"/>
      <c r="BQ114" s="216"/>
      <c r="BR114" s="216"/>
      <c r="BS114" s="216"/>
      <c r="BT114" s="216"/>
      <c r="BU114" s="216"/>
      <c r="BV114" s="216"/>
      <c r="BW114" s="216"/>
      <c r="BX114" s="216"/>
      <c r="BY114" s="216"/>
      <c r="CA114" s="5"/>
      <c r="CJ114" s="5"/>
    </row>
    <row r="115" spans="1:95" s="7" customFormat="1" ht="15" customHeight="1">
      <c r="A115" s="218" t="s">
        <v>45</v>
      </c>
      <c r="B115" s="219">
        <f>SUM(B106:B114)</f>
        <v>0</v>
      </c>
      <c r="C115" s="220">
        <f>SUM(C106:C114)</f>
        <v>0</v>
      </c>
      <c r="D115" s="221">
        <f>SUM(D106:D114)</f>
        <v>0</v>
      </c>
      <c r="E115" s="220">
        <f>SUM(E106:E114)</f>
        <v>0</v>
      </c>
      <c r="J115" s="5"/>
      <c r="K115" s="5"/>
      <c r="L115" s="5"/>
      <c r="M115" s="5"/>
      <c r="N115" s="5"/>
      <c r="O115" s="5"/>
      <c r="W115" s="216"/>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16"/>
      <c r="BJ115" s="216"/>
      <c r="BK115" s="216"/>
      <c r="BL115" s="216"/>
      <c r="BM115" s="216"/>
      <c r="BN115" s="216"/>
      <c r="BO115" s="216"/>
      <c r="BP115" s="216"/>
      <c r="BQ115" s="216"/>
      <c r="BR115" s="216"/>
      <c r="BS115" s="216"/>
      <c r="BT115" s="216"/>
      <c r="BU115" s="216"/>
      <c r="BV115" s="216"/>
      <c r="BW115" s="216"/>
      <c r="BX115" s="216"/>
      <c r="BY115" s="216"/>
    </row>
    <row r="116" spans="1:95" s="7" customFormat="1" ht="15" customHeight="1">
      <c r="A116" s="2401" t="s">
        <v>113</v>
      </c>
      <c r="B116" s="1622"/>
      <c r="C116" s="1622"/>
      <c r="D116" s="324"/>
      <c r="E116" s="324"/>
      <c r="J116" s="5"/>
      <c r="K116" s="5"/>
      <c r="L116" s="5"/>
      <c r="M116" s="5"/>
      <c r="N116" s="5"/>
      <c r="O116" s="5"/>
      <c r="W116" s="216"/>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16"/>
      <c r="BJ116" s="216"/>
      <c r="BK116" s="216"/>
      <c r="BL116" s="216"/>
      <c r="BM116" s="216"/>
      <c r="BN116" s="216"/>
      <c r="BO116" s="216"/>
      <c r="BP116" s="216"/>
      <c r="BQ116" s="216"/>
      <c r="BR116" s="216"/>
      <c r="BS116" s="216"/>
      <c r="BT116" s="216"/>
      <c r="BU116" s="216"/>
      <c r="BV116" s="216"/>
      <c r="BW116" s="216"/>
      <c r="BX116" s="216"/>
      <c r="BY116" s="216"/>
    </row>
    <row r="117" spans="1:95" ht="17.149999999999999" customHeight="1">
      <c r="A117" s="1683" t="s">
        <v>114</v>
      </c>
      <c r="B117" s="1684"/>
      <c r="C117" s="1684"/>
      <c r="D117" s="1684"/>
      <c r="E117" s="1684"/>
      <c r="F117" s="1684"/>
      <c r="G117" s="1684"/>
      <c r="H117" s="1684"/>
      <c r="I117" s="1684"/>
      <c r="J117" s="1684"/>
      <c r="K117" s="1684"/>
      <c r="L117" s="1684"/>
    </row>
    <row r="118" spans="1:95" ht="15" customHeight="1">
      <c r="A118" s="1677" t="s">
        <v>70</v>
      </c>
      <c r="B118" s="1677" t="s">
        <v>71</v>
      </c>
      <c r="C118" s="1677" t="s">
        <v>5</v>
      </c>
      <c r="D118" s="1685" t="s">
        <v>6</v>
      </c>
      <c r="E118" s="1685"/>
      <c r="F118" s="1685"/>
      <c r="G118" s="1685"/>
      <c r="H118" s="1685"/>
      <c r="I118" s="1685"/>
      <c r="J118" s="1685"/>
      <c r="K118" s="1685"/>
      <c r="L118" s="1685"/>
    </row>
    <row r="119" spans="1:95" ht="15" customHeight="1">
      <c r="A119" s="1678"/>
      <c r="B119" s="1678"/>
      <c r="C119" s="1678"/>
      <c r="D119" s="213" t="s">
        <v>72</v>
      </c>
      <c r="E119" s="180" t="s">
        <v>13</v>
      </c>
      <c r="F119" s="180" t="s">
        <v>14</v>
      </c>
      <c r="G119" s="180" t="s">
        <v>15</v>
      </c>
      <c r="H119" s="180" t="s">
        <v>16</v>
      </c>
      <c r="I119" s="180" t="s">
        <v>17</v>
      </c>
      <c r="J119" s="180" t="s">
        <v>18</v>
      </c>
      <c r="K119" s="180" t="s">
        <v>19</v>
      </c>
      <c r="L119" s="222" t="s">
        <v>20</v>
      </c>
    </row>
    <row r="120" spans="1:95" ht="15" customHeight="1">
      <c r="A120" s="1664" t="s">
        <v>115</v>
      </c>
      <c r="B120" s="334" t="s">
        <v>150</v>
      </c>
      <c r="C120" s="223">
        <f>SUM(D120:L120)</f>
        <v>0</v>
      </c>
      <c r="D120" s="224"/>
      <c r="E120" s="225"/>
      <c r="F120" s="225"/>
      <c r="G120" s="225"/>
      <c r="H120" s="225"/>
      <c r="I120" s="225"/>
      <c r="J120" s="225"/>
      <c r="K120" s="225"/>
      <c r="L120" s="226"/>
      <c r="M120" s="227"/>
      <c r="O120" s="7"/>
      <c r="P120" s="7"/>
    </row>
    <row r="121" spans="1:95" ht="15" customHeight="1">
      <c r="A121" s="1672"/>
      <c r="B121" s="335" t="s">
        <v>151</v>
      </c>
      <c r="C121" s="228">
        <f>SUM(D121:L121)</f>
        <v>0</v>
      </c>
      <c r="D121" s="229"/>
      <c r="E121" s="230"/>
      <c r="F121" s="230"/>
      <c r="G121" s="230"/>
      <c r="H121" s="230"/>
      <c r="I121" s="230"/>
      <c r="J121" s="230"/>
      <c r="K121" s="230"/>
      <c r="L121" s="231"/>
      <c r="M121" s="227"/>
      <c r="O121" s="7"/>
      <c r="P121" s="7"/>
    </row>
    <row r="122" spans="1:95" ht="15" customHeight="1">
      <c r="A122" s="1672"/>
      <c r="B122" s="335" t="s">
        <v>152</v>
      </c>
      <c r="C122" s="228">
        <f>SUM(D122:L122)</f>
        <v>0</v>
      </c>
      <c r="D122" s="229"/>
      <c r="E122" s="230"/>
      <c r="F122" s="230"/>
      <c r="G122" s="230"/>
      <c r="H122" s="230"/>
      <c r="I122" s="230"/>
      <c r="J122" s="230"/>
      <c r="K122" s="230"/>
      <c r="L122" s="231"/>
      <c r="M122" s="227"/>
      <c r="N122" s="7"/>
      <c r="O122" s="7"/>
      <c r="P122" s="7"/>
    </row>
    <row r="123" spans="1:95" ht="15" customHeight="1">
      <c r="A123" s="1672"/>
      <c r="B123" s="336" t="s">
        <v>153</v>
      </c>
      <c r="C123" s="232">
        <f>SUM(D123:L123)</f>
        <v>0</v>
      </c>
      <c r="D123" s="233"/>
      <c r="E123" s="234"/>
      <c r="F123" s="234"/>
      <c r="G123" s="234"/>
      <c r="H123" s="234"/>
      <c r="I123" s="234"/>
      <c r="J123" s="234"/>
      <c r="K123" s="234"/>
      <c r="L123" s="235"/>
      <c r="M123" s="227"/>
      <c r="N123" s="7"/>
      <c r="O123" s="7"/>
      <c r="P123" s="7"/>
    </row>
    <row r="124" spans="1:95" ht="15" customHeight="1">
      <c r="A124" s="1665"/>
      <c r="B124" s="236" t="s">
        <v>45</v>
      </c>
      <c r="C124" s="237">
        <f>SUM(D124:L124)</f>
        <v>0</v>
      </c>
      <c r="D124" s="238">
        <f>SUM(D120:D123)</f>
        <v>0</v>
      </c>
      <c r="E124" s="239">
        <f t="shared" ref="E124:L124" si="68">SUM(E120:E123)</f>
        <v>0</v>
      </c>
      <c r="F124" s="239">
        <f t="shared" si="68"/>
        <v>0</v>
      </c>
      <c r="G124" s="239">
        <f t="shared" si="68"/>
        <v>0</v>
      </c>
      <c r="H124" s="239">
        <f t="shared" si="68"/>
        <v>0</v>
      </c>
      <c r="I124" s="239">
        <f t="shared" si="68"/>
        <v>0</v>
      </c>
      <c r="J124" s="239">
        <f t="shared" si="68"/>
        <v>0</v>
      </c>
      <c r="K124" s="239">
        <f t="shared" si="68"/>
        <v>0</v>
      </c>
      <c r="L124" s="240">
        <f t="shared" si="68"/>
        <v>0</v>
      </c>
      <c r="N124" s="7"/>
      <c r="O124" s="7"/>
      <c r="P124" s="7"/>
    </row>
    <row r="125" spans="1:95" ht="17.149999999999999" customHeight="1">
      <c r="A125" s="1660" t="s">
        <v>116</v>
      </c>
      <c r="B125" s="1661"/>
      <c r="C125" s="1661"/>
      <c r="D125" s="1661"/>
      <c r="E125" s="1661"/>
      <c r="F125" s="1661"/>
      <c r="G125" s="1661"/>
      <c r="H125" s="241"/>
      <c r="I125" s="241"/>
      <c r="J125" s="241"/>
      <c r="K125" s="241"/>
      <c r="L125" s="241"/>
      <c r="N125" s="7"/>
      <c r="O125" s="7"/>
      <c r="P125" s="7"/>
    </row>
    <row r="126" spans="1:95" ht="15" customHeight="1">
      <c r="A126" s="1662" t="s">
        <v>70</v>
      </c>
      <c r="B126" s="1664" t="s">
        <v>159</v>
      </c>
      <c r="C126" s="1666" t="s">
        <v>117</v>
      </c>
      <c r="D126" s="1666" t="s">
        <v>863</v>
      </c>
      <c r="E126" s="1668" t="s">
        <v>118</v>
      </c>
      <c r="F126" s="1668" t="s">
        <v>119</v>
      </c>
      <c r="G126" s="1668" t="s">
        <v>864</v>
      </c>
      <c r="H126" s="1655" t="s">
        <v>7</v>
      </c>
      <c r="I126" s="1656"/>
      <c r="J126" s="1657" t="s">
        <v>58</v>
      </c>
      <c r="K126" s="1656"/>
      <c r="L126" s="241"/>
      <c r="M126" s="241"/>
      <c r="N126" s="241"/>
      <c r="P126" s="7"/>
      <c r="Q126" s="7"/>
      <c r="R126" s="7"/>
      <c r="X126" s="5"/>
      <c r="Y126" s="5"/>
      <c r="Z126" s="6"/>
      <c r="BJ126" s="2"/>
      <c r="BK126" s="2"/>
      <c r="CA126" s="6"/>
      <c r="CB126" s="6"/>
    </row>
    <row r="127" spans="1:95" ht="50">
      <c r="A127" s="1663"/>
      <c r="B127" s="1665"/>
      <c r="C127" s="1667"/>
      <c r="D127" s="1667"/>
      <c r="E127" s="1669"/>
      <c r="F127" s="1669"/>
      <c r="G127" s="1669"/>
      <c r="H127" s="1623" t="s">
        <v>117</v>
      </c>
      <c r="I127" s="1623" t="s">
        <v>863</v>
      </c>
      <c r="J127" s="1623" t="s">
        <v>117</v>
      </c>
      <c r="K127" s="1623" t="s">
        <v>863</v>
      </c>
      <c r="L127" s="241"/>
      <c r="M127" s="241"/>
      <c r="N127" s="241"/>
      <c r="O127" s="241"/>
      <c r="P127" s="241"/>
      <c r="Q127" s="241"/>
      <c r="S127" s="7"/>
      <c r="T127" s="7"/>
      <c r="U127" s="7"/>
      <c r="X127" s="5"/>
      <c r="Y127" s="5"/>
      <c r="Z127" s="5"/>
      <c r="AA127" s="5"/>
      <c r="AB127" s="5"/>
      <c r="AC127" s="6"/>
      <c r="BJ127" s="2"/>
      <c r="BK127" s="2"/>
      <c r="BL127" s="2"/>
      <c r="BM127" s="2"/>
      <c r="BN127" s="2"/>
      <c r="CA127" s="6"/>
      <c r="CB127" s="6"/>
      <c r="CC127" s="6"/>
      <c r="CD127" s="6"/>
    </row>
    <row r="128" spans="1:95" ht="15" customHeight="1">
      <c r="A128" s="242" t="s">
        <v>104</v>
      </c>
      <c r="B128" s="243"/>
      <c r="C128" s="244"/>
      <c r="D128" s="245"/>
      <c r="E128" s="246"/>
      <c r="F128" s="247"/>
      <c r="G128" s="245"/>
      <c r="H128" s="253"/>
      <c r="I128" s="255"/>
      <c r="J128" s="244"/>
      <c r="K128" s="248"/>
      <c r="L128" s="5" t="str">
        <f>($CA128&amp;$CB128&amp;$CC128&amp;$CD128)</f>
        <v/>
      </c>
      <c r="M128" s="241"/>
      <c r="N128" s="241"/>
      <c r="O128" s="241"/>
      <c r="P128" s="241"/>
      <c r="Q128" s="241"/>
      <c r="S128" s="7"/>
      <c r="T128" s="7"/>
      <c r="U128" s="7"/>
      <c r="X128" s="5"/>
      <c r="Y128" s="5"/>
      <c r="Z128" s="5"/>
      <c r="AA128" s="5"/>
      <c r="AB128" s="5"/>
      <c r="AC128" s="6"/>
      <c r="BJ128" s="2"/>
      <c r="BK128" s="2"/>
      <c r="BL128" s="2"/>
      <c r="BM128" s="2"/>
      <c r="BN128" s="2"/>
      <c r="CA128" s="142" t="str">
        <f>IF(AND($C128&lt;&gt;0,H128=""),"* No olvide ingresar la variable Pueblos Originarios "&amp;H$127&amp;""&amp;". Digite Cero si no tiene.",IF(H128&gt;$C128,"* La variable Pueblos Originarios "&amp;H$127&amp;""&amp;" no puede superar el Total de Gestantes en control con resultado 1° VIH. ",""))</f>
        <v/>
      </c>
      <c r="CB128" s="142" t="str">
        <f>IF(AND($D128&lt;&gt;0,I128=""),"* No olvide ingresar la variable Pueblos Originarios "&amp;I$127&amp;""&amp;". Digite Cero si no tiene.",IF(I128&gt;$D128,"* La variable Pueblos Originarios "&amp;I$127&amp;""&amp;" no puede superar el Total de Gestantes en control con resultado 1° VIH. ",""))</f>
        <v/>
      </c>
      <c r="CC128" s="142" t="str">
        <f>IF(AND($C128&lt;&gt;0,J128=""),"* No olvide ingresar la variable Migrantes "&amp;J$127&amp;""&amp;". Digite Cero si no tiene.",IF(J128&gt;$C128,"* La variable Migrantes "&amp;J$127&amp;""&amp;" no puede superar el Total de Gestantes en control con resultado 1° VIH. ",""))</f>
        <v/>
      </c>
      <c r="CD128" s="142" t="str">
        <f>IF(AND($D128&lt;&gt;0,K128=""),"* No olvide ingresar la variable Migrantes "&amp;K$127&amp;""&amp;". Digite Cero si no tiene.",IF(K128&gt;$D128,"* La variable Migrantes de Gestantes "&amp;K$127&amp;""&amp;" no puede superar el Total de Gestantes en control con resultado 1° VIH. ",""))</f>
        <v/>
      </c>
      <c r="CN128" s="34">
        <f>IF(AND($C128&lt;&gt;0,H128=""),1,IF(H128&gt;$C128,1,0))</f>
        <v>0</v>
      </c>
      <c r="CO128" s="34">
        <f>IF(AND($D128&lt;&gt;0,I128=""),1,IF(I128&gt;$D128,1,0))</f>
        <v>0</v>
      </c>
      <c r="CP128" s="34">
        <f>IF(AND($C128&lt;&gt;0,J128=""),1,IF(J128&gt;$C128,1,0))</f>
        <v>0</v>
      </c>
      <c r="CQ128" s="34">
        <f>IF(AND($D128&lt;&gt;0,K128=""),1,IF(K128&gt;$D128,1,0))</f>
        <v>0</v>
      </c>
    </row>
    <row r="129" spans="1:95" ht="15" customHeight="1">
      <c r="A129" s="249" t="s">
        <v>105</v>
      </c>
      <c r="B129" s="250"/>
      <c r="C129" s="251"/>
      <c r="D129" s="252"/>
      <c r="E129" s="253"/>
      <c r="F129" s="254"/>
      <c r="G129" s="252"/>
      <c r="H129" s="253"/>
      <c r="I129" s="255"/>
      <c r="J129" s="251"/>
      <c r="K129" s="255"/>
      <c r="L129" s="5" t="str">
        <f t="shared" ref="L129:L138" si="69">($CA129&amp;$CB129&amp;$CC129&amp;$CD129)</f>
        <v/>
      </c>
      <c r="M129" s="241"/>
      <c r="N129" s="241"/>
      <c r="O129" s="241"/>
      <c r="P129" s="241"/>
      <c r="Q129" s="241"/>
      <c r="S129" s="7"/>
      <c r="T129" s="7"/>
      <c r="U129" s="7"/>
      <c r="X129" s="5"/>
      <c r="Y129" s="5"/>
      <c r="Z129" s="5"/>
      <c r="AA129" s="5"/>
      <c r="AB129" s="5"/>
      <c r="AC129" s="6"/>
      <c r="BJ129" s="2"/>
      <c r="BK129" s="2"/>
      <c r="BL129" s="2"/>
      <c r="BM129" s="2"/>
      <c r="BN129" s="2"/>
      <c r="CA129" s="142" t="str">
        <f t="shared" ref="CA129:CA135" si="70">IF(AND($C129&lt;&gt;0,H129=""),"* No olvide ingresar la variable Pueblos Originarios "&amp;H$127&amp;""&amp;". Digite Cero si no tiene.",IF(H129&gt;$C129,"* La variable Pueblos Originarios "&amp;H$127&amp;""&amp;" no puede superar el Total de Gestantes en control con resultado 1° VIH. ",""))</f>
        <v/>
      </c>
      <c r="CB129" s="142" t="str">
        <f t="shared" ref="CB129:CB136" si="71">IF(AND($D129&lt;&gt;0,I129=""),"* No olvide ingresar la variable Pueblos Originarios "&amp;I$127&amp;""&amp;". Digite Cero si no tiene.",IF(I129&gt;$D129,"* La variable Pueblos Originarios "&amp;I$127&amp;""&amp;" no puede superar el Total de Gestantes en control con resultado 1° VIH. ",""))</f>
        <v/>
      </c>
      <c r="CC129" s="142" t="str">
        <f>IF(AND($C129&lt;&gt;0,J129=""),"* No olvide ingresar la variable Migrantes "&amp;J$127&amp;""&amp;". Digite Cero si no tiene.",IF(J129&gt;$C129,"* La variable Migrantes "&amp;J$127&amp;""&amp;" no puede superar el Total de Gestantes en control con resultado 1° VIH. ",""))</f>
        <v/>
      </c>
      <c r="CD129" s="142" t="str">
        <f t="shared" ref="CD129:CD136" si="72">IF(AND($D129&lt;&gt;0,K129=""),"* No olvide ingresar la variable Migrantes "&amp;K$127&amp;""&amp;". Digite Cero si no tiene.",IF(K129&gt;$D129,"* La variable Migrantes de Gestantes "&amp;K$127&amp;""&amp;" no puede superar el Total de Gestantes en control con resultado 1° VIH. ",""))</f>
        <v/>
      </c>
      <c r="CN129" s="34">
        <f t="shared" ref="CN129:CN135" si="73">IF(AND($C129&lt;&gt;0,H129=""),1,IF(H129&gt;$C129,1,0))</f>
        <v>0</v>
      </c>
      <c r="CO129" s="34">
        <f>IF(AND($D129&lt;&gt;0,$I129=""),1,IF($I129&gt;$D129,1,0))</f>
        <v>0</v>
      </c>
      <c r="CP129" s="34">
        <f>IF(AND($C129&lt;&gt;0,J129=""),1,IF(J129&gt;$C129,1,0))</f>
        <v>0</v>
      </c>
      <c r="CQ129" s="34">
        <f t="shared" ref="CQ129:CQ135" si="74">IF(AND($D129&lt;&gt;0,K129=""),1,IF(K129&gt;$D129,1,0))</f>
        <v>0</v>
      </c>
    </row>
    <row r="130" spans="1:95" ht="15" customHeight="1">
      <c r="A130" s="249" t="s">
        <v>106</v>
      </c>
      <c r="B130" s="250"/>
      <c r="C130" s="251"/>
      <c r="D130" s="252"/>
      <c r="E130" s="253"/>
      <c r="F130" s="254"/>
      <c r="G130" s="252"/>
      <c r="H130" s="253"/>
      <c r="I130" s="255"/>
      <c r="J130" s="251"/>
      <c r="K130" s="255"/>
      <c r="L130" s="5" t="str">
        <f t="shared" si="69"/>
        <v/>
      </c>
      <c r="M130" s="241"/>
      <c r="N130" s="241"/>
      <c r="O130" s="241"/>
      <c r="P130" s="241"/>
      <c r="Q130" s="241"/>
      <c r="S130" s="7"/>
      <c r="T130" s="7"/>
      <c r="U130" s="7"/>
      <c r="X130" s="5"/>
      <c r="Y130" s="5"/>
      <c r="Z130" s="5"/>
      <c r="AA130" s="5"/>
      <c r="AB130" s="5"/>
      <c r="AC130" s="6"/>
      <c r="BJ130" s="2"/>
      <c r="BK130" s="2"/>
      <c r="BL130" s="2"/>
      <c r="BM130" s="2"/>
      <c r="BN130" s="2"/>
      <c r="CA130" s="142" t="str">
        <f t="shared" si="70"/>
        <v/>
      </c>
      <c r="CB130" s="142" t="str">
        <f t="shared" si="71"/>
        <v/>
      </c>
      <c r="CC130" s="142" t="str">
        <f>IF(AND($C130&lt;&gt;0,J130=""),"* No olvide ingresar la variable Migrantes "&amp;J$127&amp;""&amp;". Digite Cero si no tiene.",IF(J130&gt;$C130,"* La variable Migrantes "&amp;J$127&amp;""&amp;" no puede superar el Total de Gestantes en control con resultado 1° VIH. ",""))</f>
        <v/>
      </c>
      <c r="CD130" s="142" t="str">
        <f t="shared" si="72"/>
        <v/>
      </c>
      <c r="CN130" s="34">
        <f t="shared" si="73"/>
        <v>0</v>
      </c>
      <c r="CO130" s="34">
        <f t="shared" ref="CO130:CO135" si="75">IF(AND($D130&lt;&gt;0,I130=""),1,IF(I130&gt;$D130,1,0))</f>
        <v>0</v>
      </c>
      <c r="CP130" s="34">
        <f>IF(AND($C130&lt;&gt;0,J130=""),1,IF(J130&gt;$C130,1,0))</f>
        <v>0</v>
      </c>
      <c r="CQ130" s="34">
        <f t="shared" si="74"/>
        <v>0</v>
      </c>
    </row>
    <row r="131" spans="1:95" ht="15" customHeight="1">
      <c r="A131" s="249" t="s">
        <v>107</v>
      </c>
      <c r="B131" s="250"/>
      <c r="C131" s="251"/>
      <c r="D131" s="252"/>
      <c r="E131" s="253"/>
      <c r="F131" s="254"/>
      <c r="G131" s="252"/>
      <c r="H131" s="253"/>
      <c r="I131" s="255"/>
      <c r="J131" s="251"/>
      <c r="K131" s="255"/>
      <c r="L131" s="5" t="str">
        <f t="shared" si="69"/>
        <v/>
      </c>
      <c r="M131" s="241"/>
      <c r="N131" s="241"/>
      <c r="O131" s="241"/>
      <c r="P131" s="241"/>
      <c r="Q131" s="241"/>
      <c r="S131" s="7"/>
      <c r="T131" s="7"/>
      <c r="U131" s="7"/>
      <c r="X131" s="5"/>
      <c r="Y131" s="5"/>
      <c r="Z131" s="5"/>
      <c r="AA131" s="5"/>
      <c r="AB131" s="5"/>
      <c r="AC131" s="6"/>
      <c r="BJ131" s="2"/>
      <c r="BK131" s="2"/>
      <c r="BL131" s="2"/>
      <c r="BM131" s="2"/>
      <c r="BN131" s="2"/>
      <c r="CA131" s="142" t="str">
        <f t="shared" si="70"/>
        <v/>
      </c>
      <c r="CB131" s="142" t="str">
        <f t="shared" si="71"/>
        <v/>
      </c>
      <c r="CC131" s="142" t="str">
        <f t="shared" ref="CC131:CC136" si="76">IF(AND($C131&lt;&gt;0,J131=""),"* No olvide ingresar la variable Migrantes "&amp;J$127&amp;""&amp;". Digite Cero si no tiene.",IF(J131&gt;$C131,"* La variable Migrantes "&amp;J$127&amp;""&amp;" no puede superar el Total de Gestantes en control con resultado 1° VIH. ",""))</f>
        <v/>
      </c>
      <c r="CD131" s="142" t="str">
        <f t="shared" si="72"/>
        <v/>
      </c>
      <c r="CN131" s="34">
        <f t="shared" si="73"/>
        <v>0</v>
      </c>
      <c r="CO131" s="34">
        <f t="shared" si="75"/>
        <v>0</v>
      </c>
      <c r="CP131" s="34">
        <f t="shared" ref="CP131:CP135" si="77">IF(AND($C131&lt;&gt;0,J131=""),1,IF(J131&gt;$C131,1,0))</f>
        <v>0</v>
      </c>
      <c r="CQ131" s="34">
        <f t="shared" si="74"/>
        <v>0</v>
      </c>
    </row>
    <row r="132" spans="1:95" ht="15" customHeight="1">
      <c r="A132" s="249" t="s">
        <v>108</v>
      </c>
      <c r="B132" s="250"/>
      <c r="C132" s="251"/>
      <c r="D132" s="252"/>
      <c r="E132" s="253"/>
      <c r="F132" s="254"/>
      <c r="G132" s="252"/>
      <c r="H132" s="253"/>
      <c r="I132" s="255"/>
      <c r="J132" s="251"/>
      <c r="K132" s="255"/>
      <c r="L132" s="5" t="str">
        <f t="shared" si="69"/>
        <v/>
      </c>
      <c r="M132" s="241"/>
      <c r="N132" s="241"/>
      <c r="O132" s="241"/>
      <c r="P132" s="241"/>
      <c r="Q132" s="241"/>
      <c r="S132" s="7"/>
      <c r="T132" s="7"/>
      <c r="U132" s="7"/>
      <c r="X132" s="5"/>
      <c r="Y132" s="5"/>
      <c r="Z132" s="5"/>
      <c r="AA132" s="5"/>
      <c r="AB132" s="5"/>
      <c r="AC132" s="6"/>
      <c r="BJ132" s="2"/>
      <c r="BK132" s="2"/>
      <c r="BL132" s="2"/>
      <c r="BM132" s="2"/>
      <c r="BN132" s="2"/>
      <c r="CA132" s="142" t="str">
        <f t="shared" si="70"/>
        <v/>
      </c>
      <c r="CB132" s="142" t="str">
        <f t="shared" si="71"/>
        <v/>
      </c>
      <c r="CC132" s="142" t="str">
        <f t="shared" si="76"/>
        <v/>
      </c>
      <c r="CD132" s="142" t="str">
        <f t="shared" si="72"/>
        <v/>
      </c>
      <c r="CN132" s="34">
        <f t="shared" si="73"/>
        <v>0</v>
      </c>
      <c r="CO132" s="34">
        <f t="shared" si="75"/>
        <v>0</v>
      </c>
      <c r="CP132" s="34">
        <f t="shared" si="77"/>
        <v>0</v>
      </c>
      <c r="CQ132" s="34">
        <f t="shared" si="74"/>
        <v>0</v>
      </c>
    </row>
    <row r="133" spans="1:95" ht="15" customHeight="1">
      <c r="A133" s="249" t="s">
        <v>109</v>
      </c>
      <c r="B133" s="250"/>
      <c r="C133" s="251"/>
      <c r="D133" s="252"/>
      <c r="E133" s="253"/>
      <c r="F133" s="254"/>
      <c r="G133" s="252"/>
      <c r="H133" s="253"/>
      <c r="I133" s="255"/>
      <c r="J133" s="251"/>
      <c r="K133" s="255"/>
      <c r="L133" s="5" t="str">
        <f t="shared" si="69"/>
        <v/>
      </c>
      <c r="M133" s="241"/>
      <c r="N133" s="241"/>
      <c r="O133" s="241"/>
      <c r="P133" s="241"/>
      <c r="Q133" s="241"/>
      <c r="S133" s="7"/>
      <c r="T133" s="7"/>
      <c r="U133" s="7"/>
      <c r="X133" s="5"/>
      <c r="Y133" s="5"/>
      <c r="Z133" s="5"/>
      <c r="AA133" s="5"/>
      <c r="AB133" s="5"/>
      <c r="AC133" s="6"/>
      <c r="BJ133" s="2"/>
      <c r="BK133" s="2"/>
      <c r="BL133" s="2"/>
      <c r="BM133" s="2"/>
      <c r="BN133" s="2"/>
      <c r="CA133" s="142" t="str">
        <f t="shared" si="70"/>
        <v/>
      </c>
      <c r="CB133" s="142" t="str">
        <f t="shared" si="71"/>
        <v/>
      </c>
      <c r="CC133" s="142" t="str">
        <f t="shared" si="76"/>
        <v/>
      </c>
      <c r="CD133" s="142" t="str">
        <f t="shared" si="72"/>
        <v/>
      </c>
      <c r="CN133" s="34">
        <f t="shared" si="73"/>
        <v>0</v>
      </c>
      <c r="CO133" s="34">
        <f t="shared" si="75"/>
        <v>0</v>
      </c>
      <c r="CP133" s="34">
        <f t="shared" si="77"/>
        <v>0</v>
      </c>
      <c r="CQ133" s="34">
        <f t="shared" si="74"/>
        <v>0</v>
      </c>
    </row>
    <row r="134" spans="1:95" ht="15" customHeight="1">
      <c r="A134" s="249" t="s">
        <v>110</v>
      </c>
      <c r="B134" s="250"/>
      <c r="C134" s="251"/>
      <c r="D134" s="252"/>
      <c r="E134" s="253"/>
      <c r="F134" s="254"/>
      <c r="G134" s="252"/>
      <c r="H134" s="253"/>
      <c r="I134" s="255"/>
      <c r="J134" s="251"/>
      <c r="K134" s="255"/>
      <c r="L134" s="5" t="str">
        <f t="shared" si="69"/>
        <v/>
      </c>
      <c r="M134" s="241"/>
      <c r="N134" s="241"/>
      <c r="O134" s="241"/>
      <c r="P134" s="241"/>
      <c r="Q134" s="241"/>
      <c r="S134" s="7"/>
      <c r="T134" s="7"/>
      <c r="U134" s="7"/>
      <c r="X134" s="5"/>
      <c r="Y134" s="5"/>
      <c r="Z134" s="5"/>
      <c r="AA134" s="5"/>
      <c r="AB134" s="5"/>
      <c r="AC134" s="6"/>
      <c r="BJ134" s="2"/>
      <c r="BK134" s="2"/>
      <c r="BL134" s="2"/>
      <c r="BM134" s="2"/>
      <c r="BN134" s="2"/>
      <c r="CA134" s="142" t="str">
        <f t="shared" si="70"/>
        <v/>
      </c>
      <c r="CB134" s="142" t="str">
        <f t="shared" si="71"/>
        <v/>
      </c>
      <c r="CC134" s="142" t="str">
        <f t="shared" si="76"/>
        <v/>
      </c>
      <c r="CD134" s="142" t="str">
        <f t="shared" si="72"/>
        <v/>
      </c>
      <c r="CN134" s="34">
        <f t="shared" si="73"/>
        <v>0</v>
      </c>
      <c r="CO134" s="34">
        <f t="shared" si="75"/>
        <v>0</v>
      </c>
      <c r="CP134" s="34">
        <f t="shared" si="77"/>
        <v>0</v>
      </c>
      <c r="CQ134" s="34">
        <f t="shared" si="74"/>
        <v>0</v>
      </c>
    </row>
    <row r="135" spans="1:95" ht="15" customHeight="1">
      <c r="A135" s="249" t="s">
        <v>111</v>
      </c>
      <c r="B135" s="250"/>
      <c r="C135" s="251"/>
      <c r="D135" s="252"/>
      <c r="E135" s="253"/>
      <c r="F135" s="254"/>
      <c r="G135" s="252"/>
      <c r="H135" s="253"/>
      <c r="I135" s="255"/>
      <c r="J135" s="251"/>
      <c r="K135" s="255"/>
      <c r="L135" s="5" t="str">
        <f t="shared" si="69"/>
        <v/>
      </c>
      <c r="M135" s="241"/>
      <c r="N135" s="241"/>
      <c r="O135" s="241"/>
      <c r="P135" s="241"/>
      <c r="Q135" s="241"/>
      <c r="S135" s="7"/>
      <c r="T135" s="7"/>
      <c r="U135" s="7"/>
      <c r="X135" s="5"/>
      <c r="Y135" s="5"/>
      <c r="Z135" s="5"/>
      <c r="AA135" s="5"/>
      <c r="AB135" s="5"/>
      <c r="AC135" s="6"/>
      <c r="BJ135" s="2"/>
      <c r="BK135" s="2"/>
      <c r="BL135" s="2"/>
      <c r="BM135" s="2"/>
      <c r="BN135" s="2"/>
      <c r="CA135" s="142" t="str">
        <f t="shared" si="70"/>
        <v/>
      </c>
      <c r="CB135" s="142" t="str">
        <f t="shared" si="71"/>
        <v/>
      </c>
      <c r="CC135" s="142" t="str">
        <f t="shared" si="76"/>
        <v/>
      </c>
      <c r="CD135" s="142" t="str">
        <f t="shared" si="72"/>
        <v/>
      </c>
      <c r="CN135" s="34">
        <f t="shared" si="73"/>
        <v>0</v>
      </c>
      <c r="CO135" s="34">
        <f t="shared" si="75"/>
        <v>0</v>
      </c>
      <c r="CP135" s="34">
        <f t="shared" si="77"/>
        <v>0</v>
      </c>
      <c r="CQ135" s="34">
        <f t="shared" si="74"/>
        <v>0</v>
      </c>
    </row>
    <row r="136" spans="1:95" ht="15" customHeight="1">
      <c r="A136" s="256" t="s">
        <v>112</v>
      </c>
      <c r="B136" s="257"/>
      <c r="C136" s="258"/>
      <c r="D136" s="259"/>
      <c r="E136" s="260"/>
      <c r="F136" s="261"/>
      <c r="G136" s="259"/>
      <c r="H136" s="260"/>
      <c r="I136" s="262"/>
      <c r="J136" s="258"/>
      <c r="K136" s="262"/>
      <c r="L136" s="5" t="str">
        <f t="shared" si="69"/>
        <v/>
      </c>
      <c r="M136" s="241"/>
      <c r="N136" s="241"/>
      <c r="O136" s="241"/>
      <c r="P136" s="241"/>
      <c r="Q136" s="241"/>
      <c r="S136" s="7"/>
      <c r="T136" s="7"/>
      <c r="U136" s="7"/>
      <c r="X136" s="5"/>
      <c r="Y136" s="5"/>
      <c r="Z136" s="5"/>
      <c r="AA136" s="5"/>
      <c r="AB136" s="5"/>
      <c r="AC136" s="6"/>
      <c r="BJ136" s="2"/>
      <c r="BK136" s="2"/>
      <c r="BL136" s="2"/>
      <c r="BM136" s="2"/>
      <c r="BN136" s="2"/>
      <c r="CA136" s="142" t="str">
        <f>IF(AND($C136&lt;&gt;0,H136=""),"* No olvide ingresar la variable Pueblos Originarios "&amp;H$127&amp;""&amp;". Digite Cero si no tiene.",IF(H136&gt;$C136,"* La variable Pueblos Originarios "&amp;H$127&amp;""&amp;" no puede superar el Total de Gestantes en control con resultado 1° VIH. ",""))</f>
        <v/>
      </c>
      <c r="CB136" s="142" t="str">
        <f t="shared" si="71"/>
        <v/>
      </c>
      <c r="CC136" s="142" t="str">
        <f t="shared" si="76"/>
        <v/>
      </c>
      <c r="CD136" s="142" t="str">
        <f t="shared" si="72"/>
        <v/>
      </c>
      <c r="CN136" s="34">
        <f>IF(AND($C136&lt;&gt;0,H136=""),1,IF(H136&gt;$C136,1,0))</f>
        <v>0</v>
      </c>
      <c r="CO136" s="34">
        <f>IF(AND($D136&lt;&gt;0,I136=""),1,IF(I136&gt;$D136,1,0))</f>
        <v>0</v>
      </c>
      <c r="CP136" s="34">
        <f>IF(AND($C136&lt;&gt;0,J136=""),1,IF(J136&gt;$C136,1,0))</f>
        <v>0</v>
      </c>
      <c r="CQ136" s="34">
        <f>IF(AND($D136&lt;&gt;0,K136=""),1,IF(K136&gt;$D136,1,0))</f>
        <v>0</v>
      </c>
    </row>
    <row r="137" spans="1:95" ht="15" customHeight="1">
      <c r="A137" s="263" t="s">
        <v>45</v>
      </c>
      <c r="B137" s="264">
        <f>SUM(B128:B136)</f>
        <v>0</v>
      </c>
      <c r="C137" s="265">
        <f t="shared" ref="C137:K137" si="78">SUM(C128:C136)</f>
        <v>0</v>
      </c>
      <c r="D137" s="266">
        <f t="shared" si="78"/>
        <v>0</v>
      </c>
      <c r="E137" s="267">
        <f t="shared" si="78"/>
        <v>0</v>
      </c>
      <c r="F137" s="268">
        <f t="shared" si="78"/>
        <v>0</v>
      </c>
      <c r="G137" s="269">
        <f t="shared" si="78"/>
        <v>0</v>
      </c>
      <c r="H137" s="270">
        <f t="shared" si="78"/>
        <v>0</v>
      </c>
      <c r="I137" s="271">
        <f t="shared" si="78"/>
        <v>0</v>
      </c>
      <c r="J137" s="265">
        <f t="shared" si="78"/>
        <v>0</v>
      </c>
      <c r="K137" s="271">
        <f t="shared" si="78"/>
        <v>0</v>
      </c>
      <c r="L137" s="241"/>
      <c r="M137" s="241"/>
      <c r="N137" s="241"/>
      <c r="O137" s="241"/>
      <c r="P137" s="241"/>
      <c r="Q137" s="241"/>
      <c r="S137" s="7"/>
      <c r="T137" s="7"/>
      <c r="U137" s="7"/>
      <c r="X137" s="5"/>
      <c r="Y137" s="5"/>
      <c r="Z137" s="5"/>
      <c r="AA137" s="5"/>
      <c r="AB137" s="5"/>
      <c r="AC137" s="6"/>
      <c r="BJ137" s="2"/>
      <c r="BK137" s="2"/>
      <c r="BL137" s="2"/>
      <c r="BM137" s="2"/>
      <c r="BN137" s="2"/>
      <c r="CA137" s="6"/>
      <c r="CB137" s="6"/>
      <c r="CC137" s="6"/>
      <c r="CD137" s="6"/>
    </row>
    <row r="138" spans="1:95" ht="15" customHeight="1">
      <c r="A138" s="263" t="s">
        <v>120</v>
      </c>
      <c r="B138" s="272"/>
      <c r="C138" s="338"/>
      <c r="D138" s="339"/>
      <c r="E138" s="274"/>
      <c r="F138" s="340"/>
      <c r="G138" s="340"/>
      <c r="H138" s="275"/>
      <c r="I138" s="276"/>
      <c r="J138" s="273"/>
      <c r="K138" s="276"/>
      <c r="L138" s="5" t="str">
        <f t="shared" si="69"/>
        <v/>
      </c>
      <c r="M138" s="241"/>
      <c r="N138" s="241"/>
      <c r="O138" s="241"/>
      <c r="P138" s="241"/>
      <c r="Q138" s="241"/>
      <c r="S138" s="7"/>
      <c r="T138" s="7"/>
      <c r="U138" s="7"/>
      <c r="X138" s="5"/>
      <c r="Y138" s="5"/>
      <c r="Z138" s="5"/>
      <c r="AA138" s="5"/>
      <c r="AB138" s="5"/>
      <c r="AC138" s="6"/>
      <c r="BJ138" s="2"/>
      <c r="BK138" s="2"/>
      <c r="BL138" s="2"/>
      <c r="BM138" s="2"/>
      <c r="BN138" s="2"/>
      <c r="CA138" s="142" t="str">
        <f>IF(AND($C138&lt;&gt;0,H138=""),"* No olvide ingresar la variable Pueblos Originarios "&amp;H$127&amp;""&amp;". Digite Cero si no tiene.",IF(H138&gt;$C138,"* La variable Pueblos Originarios "&amp;H$127&amp;""&amp;" no puede superar el Total de Gestantes en control con resultado 1° VIH. ",""))</f>
        <v/>
      </c>
      <c r="CB138" s="142" t="str">
        <f t="shared" ref="CB138" si="79">IF(AND($D138&lt;&gt;0,I138=""),"* No olvide ingresar la variable Pueblos Originarios "&amp;I$127&amp;""&amp;". Digite Cero si no tiene.",IF(I138&gt;$D138,"* La variable Pueblos Originarios "&amp;I$127&amp;""&amp;" no puede superar el Total de Gestantes en control con resultado 1° VIH. ",""))</f>
        <v/>
      </c>
      <c r="CC138" s="142" t="str">
        <f t="shared" ref="CC138" si="80">IF(AND($C138&lt;&gt;0,J138=""),"* No olvide ingresar la variable Migrantes "&amp;J$127&amp;""&amp;". Digite Cero si no tiene.",IF(J138&gt;$C138,"* La variable Migrantes "&amp;J$127&amp;""&amp;" no puede superar el Total de Gestantes en control con resultado 1° VIH. ",""))</f>
        <v/>
      </c>
      <c r="CD138" s="142" t="str">
        <f t="shared" ref="CD138" si="81">IF(AND($D138&lt;&gt;0,K138=""),"* No olvide ingresar la variable Migrantes "&amp;K$127&amp;""&amp;". Digite Cero si no tiene.",IF(K138&gt;$D138,"* La variable Migrantes de Gestantes "&amp;K$127&amp;""&amp;" no puede superar el Total de Gestantes en control con resultado 1° VIH. ",""))</f>
        <v/>
      </c>
      <c r="CN138" s="34">
        <f>IF(AND($C138&lt;&gt;0,H138=""),1,IF(H138&gt;$C138,1,0))</f>
        <v>0</v>
      </c>
      <c r="CO138" s="34">
        <f>IF(AND($D138&lt;&gt;0,I138=""),1,IF(I138&gt;$D138,1,0))</f>
        <v>0</v>
      </c>
      <c r="CP138" s="34">
        <f>IF(AND($C138&lt;&gt;0,J138=""),1,IF(J138&gt;$C138,1,0))</f>
        <v>0</v>
      </c>
      <c r="CQ138" s="34">
        <f>IF(AND($D138&lt;&gt;0,K138=""),1,IF(K138&gt;$D138,1,0))</f>
        <v>0</v>
      </c>
    </row>
    <row r="139" spans="1:95" ht="17.149999999999999" customHeight="1">
      <c r="A139" s="277" t="s">
        <v>121</v>
      </c>
      <c r="B139" s="278"/>
      <c r="C139" s="278"/>
      <c r="D139" s="278"/>
      <c r="E139" s="278"/>
      <c r="F139" s="278"/>
      <c r="G139" s="278"/>
      <c r="H139" s="278"/>
      <c r="N139" s="7"/>
      <c r="O139" s="7"/>
      <c r="P139" s="7"/>
    </row>
    <row r="140" spans="1:95" ht="17.149999999999999" customHeight="1">
      <c r="A140" s="1658" t="s">
        <v>122</v>
      </c>
      <c r="B140" s="1659"/>
      <c r="C140" s="1659"/>
      <c r="D140" s="199"/>
      <c r="E140" s="199"/>
      <c r="F140" s="199"/>
      <c r="G140" s="199"/>
      <c r="H140" s="199"/>
      <c r="N140" s="7"/>
      <c r="O140" s="7"/>
      <c r="P140" s="7"/>
    </row>
    <row r="141" spans="1:95" ht="15" customHeight="1">
      <c r="A141" s="279" t="s">
        <v>123</v>
      </c>
      <c r="B141" s="279" t="s">
        <v>5</v>
      </c>
      <c r="C141" s="280"/>
      <c r="D141" s="281"/>
      <c r="E141" s="7"/>
      <c r="F141" s="7"/>
      <c r="G141" s="7"/>
      <c r="H141" s="282"/>
      <c r="N141" s="7"/>
      <c r="O141" s="7"/>
      <c r="P141" s="7"/>
    </row>
    <row r="142" spans="1:95" ht="15" customHeight="1">
      <c r="A142" s="341" t="s">
        <v>124</v>
      </c>
      <c r="B142" s="141"/>
      <c r="D142" s="283"/>
      <c r="E142" s="7"/>
      <c r="F142" s="7"/>
      <c r="G142" s="7"/>
      <c r="N142" s="7"/>
    </row>
    <row r="143" spans="1:95" ht="15" customHeight="1">
      <c r="A143" s="342" t="s">
        <v>125</v>
      </c>
      <c r="B143" s="175"/>
      <c r="E143" s="284"/>
      <c r="F143" s="7"/>
      <c r="G143" s="7"/>
      <c r="N143" s="7"/>
    </row>
    <row r="144" spans="1:95" ht="21" customHeight="1">
      <c r="A144" s="343" t="s">
        <v>126</v>
      </c>
      <c r="B144" s="175"/>
      <c r="D144" s="283"/>
      <c r="E144" s="7"/>
      <c r="F144" s="7"/>
      <c r="G144" s="7"/>
    </row>
    <row r="145" spans="1:8" ht="15" customHeight="1">
      <c r="A145" s="342" t="s">
        <v>127</v>
      </c>
      <c r="B145" s="175"/>
      <c r="D145" s="283"/>
      <c r="E145" s="7"/>
      <c r="F145" s="7"/>
      <c r="G145" s="7"/>
    </row>
    <row r="146" spans="1:8" ht="15" customHeight="1">
      <c r="A146" s="342" t="s">
        <v>128</v>
      </c>
      <c r="B146" s="175"/>
      <c r="D146" s="7"/>
      <c r="E146" s="7"/>
    </row>
    <row r="147" spans="1:8" ht="15" customHeight="1">
      <c r="A147" s="342" t="s">
        <v>129</v>
      </c>
      <c r="B147" s="175"/>
      <c r="D147" s="283"/>
      <c r="E147" s="7"/>
      <c r="F147" s="7"/>
      <c r="G147" s="7"/>
    </row>
    <row r="148" spans="1:8" ht="15" customHeight="1">
      <c r="A148" s="342" t="s">
        <v>130</v>
      </c>
      <c r="B148" s="175"/>
      <c r="D148" s="283"/>
      <c r="E148" s="7"/>
      <c r="F148" s="7"/>
      <c r="G148" s="7"/>
    </row>
    <row r="149" spans="1:8" ht="15" customHeight="1">
      <c r="A149" s="342" t="s">
        <v>131</v>
      </c>
      <c r="B149" s="175"/>
      <c r="D149" s="283"/>
      <c r="E149" s="7"/>
      <c r="F149" s="7"/>
      <c r="G149" s="7"/>
    </row>
    <row r="150" spans="1:8" ht="15" customHeight="1">
      <c r="A150" s="342" t="s">
        <v>132</v>
      </c>
      <c r="B150" s="175"/>
      <c r="D150" s="283"/>
      <c r="E150" s="7"/>
      <c r="F150" s="7"/>
      <c r="G150" s="7"/>
    </row>
    <row r="151" spans="1:8" ht="15" customHeight="1">
      <c r="A151" s="342" t="s">
        <v>133</v>
      </c>
      <c r="B151" s="175"/>
      <c r="D151" s="283"/>
      <c r="E151" s="7"/>
      <c r="F151" s="7"/>
      <c r="G151" s="7"/>
    </row>
    <row r="152" spans="1:8" ht="15" customHeight="1">
      <c r="A152" s="342" t="s">
        <v>134</v>
      </c>
      <c r="B152" s="175"/>
      <c r="D152" s="283"/>
      <c r="E152" s="7"/>
      <c r="F152" s="7"/>
      <c r="G152" s="7"/>
    </row>
    <row r="153" spans="1:8" ht="15" customHeight="1">
      <c r="A153" s="342" t="s">
        <v>135</v>
      </c>
      <c r="B153" s="175"/>
      <c r="D153" s="283"/>
      <c r="E153" s="7"/>
      <c r="F153" s="7"/>
      <c r="G153" s="7"/>
    </row>
    <row r="154" spans="1:8" ht="15" customHeight="1">
      <c r="A154" s="342" t="s">
        <v>136</v>
      </c>
      <c r="B154" s="175"/>
      <c r="D154" s="283"/>
      <c r="E154" s="7"/>
      <c r="F154" s="7"/>
      <c r="G154" s="7"/>
    </row>
    <row r="155" spans="1:8" ht="15" customHeight="1">
      <c r="A155" s="342" t="s">
        <v>137</v>
      </c>
      <c r="B155" s="175"/>
      <c r="D155" s="283"/>
      <c r="E155" s="7"/>
      <c r="F155" s="7"/>
      <c r="G155" s="7"/>
    </row>
    <row r="156" spans="1:8" ht="15" customHeight="1">
      <c r="A156" s="342" t="s">
        <v>138</v>
      </c>
      <c r="B156" s="175"/>
      <c r="D156" s="283"/>
      <c r="E156" s="7"/>
      <c r="F156" s="7"/>
      <c r="G156" s="7"/>
    </row>
    <row r="157" spans="1:8" ht="15" customHeight="1">
      <c r="A157" s="342" t="s">
        <v>139</v>
      </c>
      <c r="B157" s="175"/>
      <c r="D157" s="283"/>
      <c r="E157" s="7"/>
      <c r="F157" s="7"/>
      <c r="G157" s="7"/>
    </row>
    <row r="158" spans="1:8" ht="15" customHeight="1">
      <c r="A158" s="342" t="s">
        <v>140</v>
      </c>
      <c r="B158" s="175"/>
      <c r="D158" s="283"/>
      <c r="E158" s="7"/>
      <c r="F158" s="7"/>
      <c r="G158" s="7"/>
    </row>
    <row r="159" spans="1:8" ht="15" customHeight="1">
      <c r="A159" s="344" t="s">
        <v>141</v>
      </c>
      <c r="B159" s="285"/>
      <c r="D159" s="283"/>
      <c r="E159" s="7"/>
      <c r="F159" s="7"/>
      <c r="G159" s="7"/>
      <c r="H159" s="7"/>
    </row>
    <row r="160" spans="1:8" ht="15" customHeight="1">
      <c r="A160" s="344" t="s">
        <v>5</v>
      </c>
      <c r="B160" s="286">
        <f>SUM(B142:B159)</f>
        <v>0</v>
      </c>
      <c r="C160" s="287"/>
    </row>
    <row r="161" spans="1:12" ht="15.75" customHeight="1"/>
    <row r="163" spans="1:12" ht="10.5" customHeight="1"/>
    <row r="164" spans="1:12" ht="9" customHeight="1"/>
    <row r="171" spans="1:12" ht="13.5" customHeight="1"/>
    <row r="172" spans="1:12" hidden="1">
      <c r="A172" s="288">
        <f>SUM(C11:C24,C26:C31,C35:C40,B44:F52,B57:B60,D57:D60,C65:C68,C70:C73,B77:B81,B84:C91,C96:C102,B106:E114,B116:E116,C120:C123,B128:G136,C138:D138,F138:G138,B142:B159)</f>
        <v>0</v>
      </c>
      <c r="B172" s="289" t="s">
        <v>142</v>
      </c>
      <c r="C172" s="290"/>
      <c r="D172" s="290"/>
      <c r="E172" s="290"/>
      <c r="F172" s="290"/>
      <c r="G172" s="290"/>
      <c r="H172" s="290"/>
      <c r="I172" s="290"/>
      <c r="J172" s="290"/>
      <c r="K172" s="290"/>
      <c r="L172" s="290"/>
    </row>
    <row r="173" spans="1:12" hidden="1">
      <c r="A173" s="288">
        <f>SUM(CN11:CV138)</f>
        <v>0</v>
      </c>
      <c r="B173" s="289" t="s">
        <v>143</v>
      </c>
      <c r="C173" s="290"/>
      <c r="D173" s="290"/>
      <c r="E173" s="290"/>
      <c r="F173" s="290"/>
      <c r="G173" s="290"/>
      <c r="H173" s="290"/>
      <c r="I173" s="290"/>
      <c r="J173" s="290"/>
      <c r="K173" s="290"/>
      <c r="L173" s="290"/>
    </row>
  </sheetData>
  <mergeCells count="93">
    <mergeCell ref="X9:X10"/>
    <mergeCell ref="A11:B11"/>
    <mergeCell ref="A6:P6"/>
    <mergeCell ref="A7:G7"/>
    <mergeCell ref="A8:M8"/>
    <mergeCell ref="A9:B10"/>
    <mergeCell ref="C9:C10"/>
    <mergeCell ref="D9:P9"/>
    <mergeCell ref="A26:B26"/>
    <mergeCell ref="Q9:Q10"/>
    <mergeCell ref="R9:S9"/>
    <mergeCell ref="T9:T10"/>
    <mergeCell ref="U9:W9"/>
    <mergeCell ref="A13:A19"/>
    <mergeCell ref="A20:A21"/>
    <mergeCell ref="A22:A23"/>
    <mergeCell ref="A24:B24"/>
    <mergeCell ref="A25:B25"/>
    <mergeCell ref="A35:A36"/>
    <mergeCell ref="A27:A28"/>
    <mergeCell ref="A29:A30"/>
    <mergeCell ref="A31:B31"/>
    <mergeCell ref="A32:M32"/>
    <mergeCell ref="A33:B34"/>
    <mergeCell ref="C33:C34"/>
    <mergeCell ref="D33:P33"/>
    <mergeCell ref="Q33:Q34"/>
    <mergeCell ref="R33:S33"/>
    <mergeCell ref="T33:T34"/>
    <mergeCell ref="U33:W33"/>
    <mergeCell ref="X33:X34"/>
    <mergeCell ref="A37:A38"/>
    <mergeCell ref="A39:B39"/>
    <mergeCell ref="A40:B40"/>
    <mergeCell ref="A42:A43"/>
    <mergeCell ref="B42:B43"/>
    <mergeCell ref="A65:A69"/>
    <mergeCell ref="K42:K43"/>
    <mergeCell ref="A54:E54"/>
    <mergeCell ref="A55:A56"/>
    <mergeCell ref="B55:B56"/>
    <mergeCell ref="C55:C56"/>
    <mergeCell ref="D55:D56"/>
    <mergeCell ref="D42:D43"/>
    <mergeCell ref="E42:E43"/>
    <mergeCell ref="F42:F43"/>
    <mergeCell ref="G42:G43"/>
    <mergeCell ref="H42:H43"/>
    <mergeCell ref="I42:J42"/>
    <mergeCell ref="C42:C43"/>
    <mergeCell ref="A62:L62"/>
    <mergeCell ref="A63:A64"/>
    <mergeCell ref="B63:B64"/>
    <mergeCell ref="C63:C64"/>
    <mergeCell ref="D63:L63"/>
    <mergeCell ref="A100:B100"/>
    <mergeCell ref="A70:A74"/>
    <mergeCell ref="A75:C75"/>
    <mergeCell ref="A82:C82"/>
    <mergeCell ref="A92:B92"/>
    <mergeCell ref="A93:H93"/>
    <mergeCell ref="A94:B95"/>
    <mergeCell ref="C94:C95"/>
    <mergeCell ref="D94:H94"/>
    <mergeCell ref="I94:I95"/>
    <mergeCell ref="J94:J95"/>
    <mergeCell ref="A96:B96"/>
    <mergeCell ref="A98:B98"/>
    <mergeCell ref="A99:B99"/>
    <mergeCell ref="A120:A124"/>
    <mergeCell ref="A101:B101"/>
    <mergeCell ref="A102:B102"/>
    <mergeCell ref="A103:E103"/>
    <mergeCell ref="A104:A105"/>
    <mergeCell ref="B104:C104"/>
    <mergeCell ref="D104:D105"/>
    <mergeCell ref="E104:E105"/>
    <mergeCell ref="A117:L117"/>
    <mergeCell ref="A118:A119"/>
    <mergeCell ref="B118:B119"/>
    <mergeCell ref="C118:C119"/>
    <mergeCell ref="D118:L118"/>
    <mergeCell ref="H126:I126"/>
    <mergeCell ref="J126:K126"/>
    <mergeCell ref="A140:C140"/>
    <mergeCell ref="A125:G125"/>
    <mergeCell ref="A126:A127"/>
    <mergeCell ref="B126:B127"/>
    <mergeCell ref="C126:C127"/>
    <mergeCell ref="D126:D127"/>
    <mergeCell ref="E126:E127"/>
    <mergeCell ref="F126:F127"/>
    <mergeCell ref="G126:G127"/>
  </mergeCells>
  <dataValidations count="5">
    <dataValidation type="whole" allowBlank="1" showInputMessage="1" showErrorMessage="1" sqref="E138" xr:uid="{23FEE737-EFDD-4F78-8215-40ACE5A9A883}">
      <formula1>0</formula1>
      <formula2>9.99999999999999E+29</formula2>
    </dataValidation>
    <dataValidation type="whole" allowBlank="1" showInputMessage="1" showErrorMessage="1" sqref="B138" xr:uid="{12ED5DA6-4525-4584-847B-028A15CB9943}">
      <formula1>0</formula1>
      <formula2>9.99999999999999E+32</formula2>
    </dataValidation>
    <dataValidation type="whole" operator="greaterThanOrEqual" allowBlank="1" showInputMessage="1" showErrorMessage="1" sqref="B57:B60 B44:K52 D65:L68 D70:L73 C138:D138 D96:J102 D120:L123 E85:F91 B142:B159 F138:K138 D60 B106:E114 B77:B81 A88:A91 B84:D91 B128:G136 J128:K136 H129:I136" xr:uid="{DF12B00E-94A2-4FE6-A7F5-20D34BB66A80}">
      <formula1>0</formula1>
    </dataValidation>
    <dataValidation type="whole" operator="greaterThanOrEqual" allowBlank="1" showInputMessage="1" showErrorMessage="1" errorTitle="Error de ingreso" error="Debe ingresar sólo números enteros positivos." sqref="D11:X31 N32:S32 D35:X40" xr:uid="{7771C8B7-5516-408D-98F0-C249A3F309F5}">
      <formula1>0</formula1>
    </dataValidation>
    <dataValidation allowBlank="1" showInputMessage="1" showErrorMessage="1" errorTitle="Error de ingreso" error="Debe ingresar sólo números enteros positivos." sqref="B118:B119 D119:F119 R127:XFD138 B160:B1048576 A29 A106:A116 E10:P10 B20:B23 B76 S34 F103:XFD103 I92:J94 C141:C1048576 B9:B18 D9:D10 E34:P34 D69:Z69 A33:D34 X33 K92:XFD95 X9 K42 C9:C31 D57:D59 J43 A139:A1048576 D74:L82 D94:H95 A92:A104 B104:B105 D61:D64 Q33:R34 T9:T10 S10 G83:XFD83 Q9:R10 T33:T34 E55:E64 C35:C41 D41:XFD41 A31:A32 G104:BY116 T32:X32 L138 CU31:XFD31 M57:CI59 AJ69:CI69 CN69:XFD69 M77:CI79 L128:L136 CO84:XFD91 CJ85:CM85 G84:CM84 CN85:CN89 G86:CM91 G85:CE85 K96:CI102 B141 CN96:XFD102 B94:C102 A35:A87 M80:XFD82 M70:XFD76 M60:XFD68 CK57:XFD59 M54:XFD56 CA104:XFD116 L42:XFD53 CK77:XFD79 M117:XFD125 O126:XFD126 Y32:XFD40 Q1:XFD8 B1:P5 N7:P8 B7:M7 B25:B31 B53:K53 F54:L64 C57:C74 B55:D56 C76:C81 D104:E104 B92:H92 D139:XFD1048576 B139:C139 CD31:CH31 CD9:XFD30 Y9:CC31 A1:A13 A20:A27 B61:B74 B35:B43 C42:I43 E83:F84 B83:D83 B115:B116 C115 D115:E116" xr:uid="{16E72E7E-FC0F-4567-A616-82EA4F87F734}"/>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231F-773F-4782-976F-9947CC270E25}">
  <dimension ref="A1:EA223"/>
  <sheetViews>
    <sheetView zoomScaleNormal="100" workbookViewId="0"/>
  </sheetViews>
  <sheetFormatPr baseColWidth="10" defaultColWidth="11.453125" defaultRowHeight="14.5"/>
  <cols>
    <col min="1" max="1" width="28.26953125" style="350" customWidth="1"/>
    <col min="2" max="2" width="39.81640625" style="350" customWidth="1"/>
    <col min="3" max="3" width="11.81640625" style="350" customWidth="1"/>
    <col min="4" max="4" width="10.7265625" style="350" customWidth="1"/>
    <col min="5" max="5" width="8.7265625" style="350" customWidth="1"/>
    <col min="6" max="6" width="10.1796875" style="350" customWidth="1"/>
    <col min="7" max="7" width="9.1796875" style="350" customWidth="1"/>
    <col min="8" max="8" width="10.1796875" style="350" customWidth="1"/>
    <col min="9" max="9" width="10.81640625" style="350" customWidth="1"/>
    <col min="10" max="10" width="10.453125" style="350" customWidth="1"/>
    <col min="11" max="11" width="11" style="350" customWidth="1"/>
    <col min="12" max="12" width="10.453125" style="350" customWidth="1"/>
    <col min="13" max="13" width="10.1796875" style="350" customWidth="1"/>
    <col min="14" max="32" width="8.7265625" style="350" customWidth="1"/>
    <col min="33" max="33" width="7.08984375" style="350" bestFit="1" customWidth="1"/>
    <col min="34" max="39" width="8.7265625" style="350" customWidth="1"/>
    <col min="40" max="40" width="8.453125" style="350" customWidth="1"/>
    <col min="41" max="41" width="8.81640625" style="350" customWidth="1"/>
    <col min="42" max="43" width="9" style="350" customWidth="1"/>
    <col min="44" max="46" width="10.26953125" style="350" customWidth="1"/>
    <col min="47" max="48" width="10.453125" style="350" customWidth="1"/>
    <col min="49" max="69" width="11.453125" style="346"/>
    <col min="70" max="73" width="10.453125" style="5" customWidth="1"/>
    <col min="74" max="78" width="11.453125" style="5"/>
    <col min="79" max="89" width="10.453125" style="5" hidden="1" customWidth="1"/>
    <col min="90" max="105" width="11.453125" style="3" hidden="1" customWidth="1"/>
    <col min="106" max="115" width="10.453125" style="5" hidden="1" customWidth="1"/>
    <col min="116" max="127" width="11.453125" style="5" hidden="1" customWidth="1"/>
    <col min="128" max="16384" width="11.453125" style="5"/>
  </cols>
  <sheetData>
    <row r="1" spans="1:131" s="3" customFormat="1" ht="13.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BR1" s="5"/>
      <c r="DB1" s="5"/>
      <c r="DC1" s="5"/>
      <c r="DD1" s="5"/>
      <c r="DE1" s="5"/>
      <c r="DF1" s="5"/>
      <c r="DG1" s="5"/>
      <c r="DH1" s="5"/>
      <c r="DI1" s="5"/>
      <c r="DJ1" s="5"/>
      <c r="DK1" s="5"/>
      <c r="DL1" s="5"/>
      <c r="DM1" s="5"/>
      <c r="DN1" s="5"/>
      <c r="DO1" s="5"/>
      <c r="DP1" s="5"/>
      <c r="DQ1" s="5"/>
      <c r="DR1" s="5"/>
      <c r="DS1" s="5"/>
      <c r="DT1" s="5"/>
      <c r="DU1" s="5"/>
      <c r="DV1" s="5"/>
      <c r="DW1" s="5"/>
      <c r="DX1" s="5"/>
      <c r="DY1" s="5"/>
      <c r="DZ1" s="5"/>
      <c r="EA1" s="5"/>
    </row>
    <row r="2" spans="1:131" s="3" customFormat="1" ht="13.5" customHeight="1">
      <c r="A2" s="1" t="s">
        <v>449</v>
      </c>
      <c r="B2" s="1"/>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BR2" s="5"/>
      <c r="DB2" s="5"/>
      <c r="DC2" s="5"/>
      <c r="DD2" s="5"/>
      <c r="DE2" s="5"/>
      <c r="DF2" s="5"/>
      <c r="DG2" s="5"/>
      <c r="DH2" s="5"/>
      <c r="DI2" s="5"/>
      <c r="DJ2" s="5"/>
      <c r="DK2" s="5"/>
      <c r="DL2" s="5"/>
      <c r="DM2" s="5"/>
      <c r="DN2" s="5"/>
      <c r="DO2" s="5"/>
      <c r="DP2" s="5"/>
      <c r="DQ2" s="5"/>
      <c r="DR2" s="5"/>
      <c r="DS2" s="5"/>
      <c r="DT2" s="5"/>
      <c r="DU2" s="5"/>
      <c r="DV2" s="5"/>
      <c r="DW2" s="5"/>
      <c r="DX2" s="5"/>
      <c r="DY2" s="5"/>
      <c r="DZ2" s="5"/>
      <c r="EA2" s="5"/>
    </row>
    <row r="3" spans="1:131" s="3" customFormat="1" ht="13.5" customHeight="1">
      <c r="A3" s="1" t="s">
        <v>450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BR3" s="5"/>
      <c r="DB3" s="5"/>
      <c r="DC3" s="5"/>
      <c r="DD3" s="5"/>
      <c r="DE3" s="5"/>
      <c r="DF3" s="5"/>
      <c r="DG3" s="5"/>
      <c r="DH3" s="5"/>
      <c r="DI3" s="5"/>
      <c r="DJ3" s="5"/>
      <c r="DK3" s="5"/>
      <c r="DL3" s="5"/>
      <c r="DM3" s="5"/>
      <c r="DN3" s="5"/>
      <c r="DO3" s="5"/>
      <c r="DP3" s="5"/>
      <c r="DQ3" s="5"/>
      <c r="DR3" s="5"/>
      <c r="DS3" s="5"/>
      <c r="DT3" s="5"/>
      <c r="DU3" s="5"/>
      <c r="DV3" s="5"/>
      <c r="DW3" s="5"/>
      <c r="DX3" s="5"/>
      <c r="DY3" s="5"/>
      <c r="DZ3" s="5"/>
      <c r="EA3" s="5"/>
    </row>
    <row r="4" spans="1:131" s="3" customFormat="1" ht="13.5" customHeight="1">
      <c r="A4" s="1" t="s">
        <v>451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BR4" s="5"/>
      <c r="DB4" s="5"/>
      <c r="DC4" s="5"/>
      <c r="DD4" s="5"/>
      <c r="DE4" s="5"/>
      <c r="DF4" s="5"/>
      <c r="DG4" s="5"/>
      <c r="DH4" s="5"/>
      <c r="DI4" s="5"/>
      <c r="DJ4" s="5"/>
      <c r="DK4" s="5"/>
      <c r="DL4" s="5"/>
      <c r="DM4" s="5"/>
      <c r="DN4" s="5"/>
      <c r="DO4" s="5"/>
      <c r="DP4" s="5"/>
      <c r="DQ4" s="5"/>
      <c r="DR4" s="5"/>
      <c r="DS4" s="5"/>
      <c r="DT4" s="5"/>
      <c r="DU4" s="5"/>
      <c r="DV4" s="5"/>
      <c r="DW4" s="5"/>
      <c r="DX4" s="5"/>
      <c r="DY4" s="5"/>
      <c r="DZ4" s="5"/>
      <c r="EA4" s="5"/>
    </row>
    <row r="5" spans="1:131" s="3" customFormat="1" ht="13.5" customHeight="1">
      <c r="A5" s="1" t="s">
        <v>452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R5" s="5"/>
      <c r="DB5" s="5"/>
      <c r="DC5" s="5"/>
      <c r="DD5" s="5"/>
      <c r="DE5" s="5"/>
      <c r="DF5" s="5"/>
      <c r="DG5" s="5"/>
      <c r="DH5" s="5"/>
      <c r="DI5" s="5"/>
      <c r="DJ5" s="5"/>
      <c r="DK5" s="5"/>
      <c r="DL5" s="5"/>
      <c r="DM5" s="5"/>
      <c r="DN5" s="5"/>
      <c r="DO5" s="5"/>
      <c r="DP5" s="5"/>
      <c r="DQ5" s="5"/>
      <c r="DR5" s="5"/>
      <c r="DS5" s="5"/>
      <c r="DT5" s="5"/>
      <c r="DU5" s="5"/>
      <c r="DV5" s="5"/>
      <c r="DW5" s="5"/>
      <c r="DX5" s="5"/>
      <c r="DY5" s="5"/>
      <c r="DZ5" s="5"/>
      <c r="EA5" s="5"/>
    </row>
    <row r="6" spans="1:131" ht="22" customHeight="1">
      <c r="A6" s="1898" t="s">
        <v>160</v>
      </c>
      <c r="B6" s="1898"/>
      <c r="C6" s="1898"/>
      <c r="D6" s="1898"/>
      <c r="E6" s="1898"/>
      <c r="F6" s="1898"/>
      <c r="G6" s="1898"/>
      <c r="H6" s="1898"/>
      <c r="I6" s="1898"/>
      <c r="J6" s="1898"/>
      <c r="K6" s="1898"/>
      <c r="L6" s="1898"/>
      <c r="M6" s="1898"/>
      <c r="N6" s="1898"/>
      <c r="O6" s="1898"/>
      <c r="P6" s="1898"/>
      <c r="Q6" s="1898"/>
      <c r="R6" s="1898"/>
      <c r="S6" s="1898"/>
      <c r="T6" s="1898"/>
      <c r="U6" s="1898"/>
      <c r="V6" s="1898"/>
      <c r="W6" s="1898"/>
      <c r="X6" s="1898"/>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CA6" s="347"/>
    </row>
    <row r="7" spans="1:131" ht="43.5" customHeight="1">
      <c r="A7" s="348" t="s">
        <v>161</v>
      </c>
      <c r="B7" s="348"/>
      <c r="C7" s="349"/>
      <c r="D7" s="349"/>
      <c r="E7" s="349"/>
      <c r="F7" s="349"/>
      <c r="G7" s="349"/>
      <c r="H7" s="349"/>
      <c r="I7" s="349"/>
      <c r="J7" s="349"/>
      <c r="K7" s="349"/>
      <c r="L7" s="349"/>
      <c r="M7" s="349"/>
      <c r="N7" s="349"/>
      <c r="O7" s="349"/>
      <c r="P7" s="349"/>
      <c r="Q7" s="349"/>
      <c r="R7" s="6"/>
      <c r="S7" s="6"/>
      <c r="T7" s="6"/>
      <c r="U7" s="6"/>
      <c r="V7" s="6"/>
      <c r="W7" s="6"/>
      <c r="X7" s="6"/>
      <c r="Y7" s="6"/>
      <c r="Z7" s="6"/>
      <c r="AA7" s="6"/>
      <c r="AU7" s="351"/>
      <c r="AV7" s="6"/>
    </row>
    <row r="8" spans="1:131" ht="16.5" customHeight="1">
      <c r="A8" s="1758" t="s">
        <v>162</v>
      </c>
      <c r="B8" s="1759"/>
      <c r="C8" s="1764" t="s">
        <v>5</v>
      </c>
      <c r="D8" s="1765"/>
      <c r="E8" s="1766"/>
      <c r="F8" s="1770" t="s">
        <v>163</v>
      </c>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90"/>
      <c r="AH8" s="1704" t="s">
        <v>7</v>
      </c>
      <c r="AI8" s="1704"/>
      <c r="AJ8" s="1704" t="s">
        <v>261</v>
      </c>
      <c r="AK8" s="1704"/>
      <c r="AL8" s="346"/>
      <c r="AM8" s="346"/>
      <c r="AN8" s="346"/>
      <c r="AO8" s="346"/>
      <c r="AP8" s="346"/>
      <c r="AQ8" s="346"/>
      <c r="AR8" s="346"/>
      <c r="AS8" s="346"/>
      <c r="AT8" s="346"/>
      <c r="AU8" s="346"/>
      <c r="AV8" s="346"/>
      <c r="BF8" s="5"/>
      <c r="BG8" s="350"/>
      <c r="BH8" s="5"/>
      <c r="BI8" s="5"/>
      <c r="BJ8" s="5"/>
      <c r="BK8" s="5"/>
      <c r="BL8" s="5"/>
      <c r="BM8" s="5"/>
      <c r="BN8" s="5"/>
      <c r="BR8" s="346"/>
      <c r="BS8" s="346"/>
      <c r="CC8" s="352"/>
      <c r="CD8" s="352"/>
      <c r="CE8" s="352"/>
      <c r="CF8" s="353"/>
      <c r="CG8" s="354"/>
      <c r="CH8" s="354"/>
      <c r="CI8" s="354"/>
      <c r="CJ8" s="290"/>
      <c r="CK8" s="290"/>
      <c r="CL8" s="290"/>
      <c r="CM8" s="290"/>
      <c r="CN8" s="355"/>
      <c r="CO8" s="355"/>
      <c r="CP8" s="355"/>
      <c r="CQ8" s="355"/>
      <c r="CR8" s="355"/>
      <c r="CS8" s="355"/>
      <c r="CT8" s="355"/>
      <c r="CU8" s="355"/>
      <c r="CV8" s="355"/>
      <c r="CW8" s="355"/>
      <c r="CX8" s="355"/>
      <c r="CY8" s="355"/>
      <c r="CZ8" s="355"/>
      <c r="DA8" s="355"/>
      <c r="DB8" s="355"/>
      <c r="DC8" s="355"/>
      <c r="DD8" s="142"/>
      <c r="DE8" s="142"/>
      <c r="DF8" s="142"/>
      <c r="DG8" s="142"/>
      <c r="DH8" s="142"/>
      <c r="DI8" s="142"/>
      <c r="DJ8" s="142"/>
      <c r="DK8" s="142"/>
      <c r="DL8" s="142"/>
      <c r="DM8" s="142"/>
      <c r="DN8" s="142"/>
      <c r="DO8" s="142"/>
      <c r="DP8" s="142"/>
      <c r="DQ8" s="142"/>
      <c r="DR8" s="142"/>
      <c r="DS8" s="142"/>
      <c r="DT8" s="142"/>
      <c r="DU8" s="142"/>
      <c r="DV8" s="142"/>
    </row>
    <row r="9" spans="1:131" ht="24" customHeight="1">
      <c r="A9" s="1760"/>
      <c r="B9" s="1761"/>
      <c r="C9" s="1767"/>
      <c r="D9" s="1768"/>
      <c r="E9" s="1769"/>
      <c r="F9" s="1756" t="s">
        <v>164</v>
      </c>
      <c r="G9" s="1757"/>
      <c r="H9" s="1756" t="s">
        <v>165</v>
      </c>
      <c r="I9" s="1757"/>
      <c r="J9" s="1756" t="s">
        <v>166</v>
      </c>
      <c r="K9" s="1757"/>
      <c r="L9" s="1756" t="s">
        <v>167</v>
      </c>
      <c r="M9" s="1757"/>
      <c r="N9" s="1756" t="s">
        <v>168</v>
      </c>
      <c r="O9" s="1757"/>
      <c r="P9" s="1756" t="s">
        <v>169</v>
      </c>
      <c r="Q9" s="1757"/>
      <c r="R9" s="1756" t="s">
        <v>170</v>
      </c>
      <c r="S9" s="1757"/>
      <c r="T9" s="1756" t="s">
        <v>171</v>
      </c>
      <c r="U9" s="1757"/>
      <c r="V9" s="1756" t="s">
        <v>172</v>
      </c>
      <c r="W9" s="1757"/>
      <c r="X9" s="1756" t="s">
        <v>173</v>
      </c>
      <c r="Y9" s="1757"/>
      <c r="Z9" s="1756" t="s">
        <v>174</v>
      </c>
      <c r="AA9" s="1757"/>
      <c r="AB9" s="1756" t="s">
        <v>175</v>
      </c>
      <c r="AC9" s="1776"/>
      <c r="AD9" s="1756" t="s">
        <v>176</v>
      </c>
      <c r="AE9" s="1757"/>
      <c r="AF9" s="1756" t="s">
        <v>177</v>
      </c>
      <c r="AG9" s="1757"/>
      <c r="AH9" s="1704"/>
      <c r="AI9" s="1704"/>
      <c r="AJ9" s="1704"/>
      <c r="AK9" s="1704"/>
      <c r="AL9" s="346"/>
      <c r="AM9" s="346"/>
      <c r="AN9" s="346"/>
      <c r="AO9" s="346"/>
      <c r="AP9" s="346"/>
      <c r="AQ9" s="346"/>
      <c r="AR9" s="346"/>
      <c r="AS9" s="346"/>
      <c r="AT9" s="346"/>
      <c r="AU9" s="346"/>
      <c r="AV9" s="346"/>
      <c r="BF9" s="5"/>
      <c r="BG9" s="350"/>
      <c r="BH9" s="5"/>
      <c r="BI9" s="5"/>
      <c r="BJ9" s="5"/>
      <c r="BK9" s="5"/>
      <c r="BL9" s="5"/>
      <c r="BM9" s="5"/>
      <c r="BN9" s="5"/>
      <c r="BR9" s="346"/>
      <c r="BS9" s="346"/>
      <c r="CC9" s="356"/>
      <c r="CD9" s="356"/>
      <c r="CE9" s="356"/>
      <c r="CF9" s="357"/>
      <c r="CG9" s="354"/>
      <c r="CH9" s="354"/>
      <c r="CI9" s="354"/>
      <c r="CJ9" s="290"/>
      <c r="CK9" s="290"/>
      <c r="CL9" s="290"/>
      <c r="CM9" s="290"/>
      <c r="CN9" s="355"/>
      <c r="CO9" s="355"/>
      <c r="CP9" s="355"/>
      <c r="CQ9" s="355"/>
      <c r="CR9" s="355"/>
      <c r="CS9" s="355"/>
      <c r="CT9" s="355"/>
      <c r="CU9" s="355"/>
      <c r="CV9" s="355"/>
      <c r="CW9" s="355"/>
      <c r="CX9" s="355"/>
      <c r="CY9" s="355"/>
      <c r="CZ9" s="355"/>
      <c r="DA9" s="355"/>
      <c r="DB9" s="355"/>
      <c r="DC9" s="355"/>
      <c r="DD9" s="142"/>
      <c r="DE9" s="142"/>
      <c r="DF9" s="142"/>
      <c r="DG9" s="142"/>
      <c r="DH9" s="142"/>
      <c r="DI9" s="142"/>
      <c r="DJ9" s="142"/>
      <c r="DK9" s="142"/>
      <c r="DL9" s="142"/>
      <c r="DM9" s="142"/>
      <c r="DN9" s="142"/>
      <c r="DO9" s="142"/>
      <c r="DP9" s="142"/>
      <c r="DQ9" s="142"/>
      <c r="DR9" s="142"/>
      <c r="DS9" s="142"/>
      <c r="DT9" s="142"/>
      <c r="DU9" s="142"/>
      <c r="DV9" s="142"/>
    </row>
    <row r="10" spans="1:131" ht="30.75" customHeight="1">
      <c r="A10" s="1762"/>
      <c r="B10" s="1763"/>
      <c r="C10" s="358" t="s">
        <v>178</v>
      </c>
      <c r="D10" s="359" t="s">
        <v>42</v>
      </c>
      <c r="E10" s="360" t="s">
        <v>179</v>
      </c>
      <c r="F10" s="359" t="s">
        <v>42</v>
      </c>
      <c r="G10" s="360" t="s">
        <v>179</v>
      </c>
      <c r="H10" s="359" t="s">
        <v>42</v>
      </c>
      <c r="I10" s="361" t="s">
        <v>179</v>
      </c>
      <c r="J10" s="359" t="s">
        <v>42</v>
      </c>
      <c r="K10" s="361" t="s">
        <v>179</v>
      </c>
      <c r="L10" s="359" t="s">
        <v>42</v>
      </c>
      <c r="M10" s="361" t="s">
        <v>179</v>
      </c>
      <c r="N10" s="359" t="s">
        <v>42</v>
      </c>
      <c r="O10" s="361" t="s">
        <v>179</v>
      </c>
      <c r="P10" s="359" t="s">
        <v>42</v>
      </c>
      <c r="Q10" s="361" t="s">
        <v>179</v>
      </c>
      <c r="R10" s="359" t="s">
        <v>42</v>
      </c>
      <c r="S10" s="361" t="s">
        <v>179</v>
      </c>
      <c r="T10" s="359" t="s">
        <v>42</v>
      </c>
      <c r="U10" s="361" t="s">
        <v>179</v>
      </c>
      <c r="V10" s="359" t="s">
        <v>42</v>
      </c>
      <c r="W10" s="361" t="s">
        <v>179</v>
      </c>
      <c r="X10" s="359" t="s">
        <v>42</v>
      </c>
      <c r="Y10" s="361" t="s">
        <v>179</v>
      </c>
      <c r="Z10" s="359" t="s">
        <v>42</v>
      </c>
      <c r="AA10" s="361" t="s">
        <v>179</v>
      </c>
      <c r="AB10" s="359" t="s">
        <v>42</v>
      </c>
      <c r="AC10" s="362" t="s">
        <v>179</v>
      </c>
      <c r="AD10" s="363" t="s">
        <v>42</v>
      </c>
      <c r="AE10" s="361" t="s">
        <v>179</v>
      </c>
      <c r="AF10" s="359" t="s">
        <v>42</v>
      </c>
      <c r="AG10" s="361" t="s">
        <v>179</v>
      </c>
      <c r="AH10" s="364" t="s">
        <v>42</v>
      </c>
      <c r="AI10" s="13" t="s">
        <v>179</v>
      </c>
      <c r="AJ10" s="13" t="s">
        <v>42</v>
      </c>
      <c r="AK10" s="181" t="s">
        <v>179</v>
      </c>
      <c r="AL10" s="346"/>
      <c r="AM10" s="346"/>
      <c r="AN10" s="346"/>
      <c r="AO10" s="346"/>
      <c r="AP10" s="346"/>
      <c r="AQ10" s="346"/>
      <c r="AR10" s="346"/>
      <c r="AS10" s="346"/>
      <c r="AT10" s="346"/>
      <c r="AU10" s="346"/>
      <c r="AV10" s="346"/>
      <c r="BF10" s="5"/>
      <c r="BG10" s="5"/>
      <c r="BH10" s="5"/>
      <c r="BI10" s="5"/>
      <c r="BJ10" s="5"/>
      <c r="BK10" s="5"/>
      <c r="BL10" s="5"/>
      <c r="BM10" s="5"/>
      <c r="BN10" s="5"/>
      <c r="BR10" s="346"/>
      <c r="BS10" s="346"/>
      <c r="CC10" s="357"/>
      <c r="CD10" s="357"/>
      <c r="CE10" s="357"/>
      <c r="CF10" s="357"/>
      <c r="CG10" s="365"/>
      <c r="CH10" s="365"/>
      <c r="CI10" s="365"/>
      <c r="CJ10" s="290"/>
      <c r="CK10" s="290"/>
      <c r="CL10" s="290"/>
      <c r="CM10" s="290"/>
      <c r="CN10" s="355"/>
      <c r="CO10" s="355"/>
      <c r="CP10" s="355"/>
      <c r="CQ10" s="355"/>
      <c r="CR10" s="355"/>
      <c r="CS10" s="355"/>
      <c r="CT10" s="355"/>
      <c r="CU10" s="355"/>
      <c r="CV10" s="355"/>
      <c r="CW10" s="355"/>
      <c r="CX10" s="355"/>
      <c r="CY10" s="355"/>
      <c r="CZ10" s="355"/>
      <c r="DA10" s="355"/>
      <c r="DB10" s="355"/>
      <c r="DC10" s="355"/>
      <c r="DD10" s="142"/>
      <c r="DE10" s="142"/>
      <c r="DF10" s="142"/>
      <c r="DG10" s="142"/>
      <c r="DH10" s="142"/>
      <c r="DI10" s="142"/>
      <c r="DJ10" s="142"/>
      <c r="DK10" s="142"/>
      <c r="DL10" s="142"/>
      <c r="DM10" s="142"/>
      <c r="DN10" s="142"/>
      <c r="DO10" s="142"/>
      <c r="DP10" s="142"/>
      <c r="DQ10" s="142"/>
      <c r="DR10" s="142"/>
      <c r="DS10" s="142"/>
      <c r="DT10" s="142"/>
      <c r="DU10" s="142"/>
      <c r="DV10" s="142"/>
    </row>
    <row r="11" spans="1:131" ht="21.75" customHeight="1">
      <c r="A11" s="1893" t="s">
        <v>180</v>
      </c>
      <c r="B11" s="1894"/>
      <c r="C11" s="366">
        <f>SUM(D11:E11)</f>
        <v>0</v>
      </c>
      <c r="D11" s="367">
        <f>+F11+H11+J11+L11+N11+P11+R11+T11+V11+X11+Z11+AB11+AD11+AF11</f>
        <v>0</v>
      </c>
      <c r="E11" s="368">
        <f>+G11+I11+K11+M11+O11+Q11+S11+U11+W11+Y11+AA11+AC11+AE11+AG11</f>
        <v>0</v>
      </c>
      <c r="F11" s="369"/>
      <c r="G11" s="370"/>
      <c r="H11" s="369"/>
      <c r="I11" s="371"/>
      <c r="J11" s="369"/>
      <c r="K11" s="371"/>
      <c r="L11" s="369"/>
      <c r="M11" s="372"/>
      <c r="N11" s="373"/>
      <c r="O11" s="374"/>
      <c r="P11" s="373"/>
      <c r="Q11" s="374"/>
      <c r="R11" s="375"/>
      <c r="S11" s="371"/>
      <c r="T11" s="369"/>
      <c r="U11" s="372"/>
      <c r="V11" s="373"/>
      <c r="W11" s="374"/>
      <c r="X11" s="373"/>
      <c r="Y11" s="374"/>
      <c r="Z11" s="373"/>
      <c r="AA11" s="374"/>
      <c r="AB11" s="373"/>
      <c r="AC11" s="376"/>
      <c r="AD11" s="377"/>
      <c r="AE11" s="374"/>
      <c r="AF11" s="373"/>
      <c r="AG11" s="374"/>
      <c r="AH11" s="378"/>
      <c r="AI11" s="379"/>
      <c r="AJ11" s="380"/>
      <c r="AK11" s="374"/>
      <c r="AL11" s="381" t="str">
        <f>($CD11&amp;CE11&amp;CF11&amp;CG11&amp;CH11&amp;CI11&amp;CJ11&amp;CK11&amp;CL11&amp;CM11&amp;CN11&amp;CO11&amp;CP11&amp;CQ11&amp;CR11&amp;CS11&amp;CT11&amp;CU11&amp;CV11&amp;CW11&amp;CX11&amp;CY11&amp;CZ11)</f>
        <v/>
      </c>
      <c r="AM11" s="346"/>
      <c r="AN11" s="346"/>
      <c r="AO11" s="346"/>
      <c r="AP11" s="346"/>
      <c r="AQ11" s="346"/>
      <c r="AR11" s="346"/>
      <c r="AS11" s="346"/>
      <c r="AT11" s="346"/>
      <c r="AU11" s="346"/>
      <c r="AV11" s="346"/>
      <c r="BF11" s="5"/>
      <c r="BG11" s="5"/>
      <c r="BH11" s="5"/>
      <c r="BI11" s="5"/>
      <c r="BJ11" s="5"/>
      <c r="BK11" s="5"/>
      <c r="BL11" s="5"/>
      <c r="BM11" s="5"/>
      <c r="BN11" s="5"/>
      <c r="BR11" s="346"/>
      <c r="BS11" s="346"/>
      <c r="CC11" s="382"/>
      <c r="CD11" s="383" t="str">
        <f>IF(H11+I11&lt;&gt;H38+I38,"* El Total de niños (as) en Control de 1 mes debe ser igual al Total de niños (as) según Diagnóstico Nutricional Integrado. ","")</f>
        <v/>
      </c>
      <c r="CE11" s="383" t="str">
        <f>IF(J11+K11&lt;&gt;J38+K38,"* El Total de niños (as) en Control de 2 meses debe ser igual al Total de niños (as) según Diagnóstico Nutricional Integrado. ","")</f>
        <v/>
      </c>
      <c r="CF11" s="383" t="str">
        <f>IF(L11+M11&lt;&gt;L38+M38,"* El Total de niños (as) en Control de 3 meses debe ser igual al Total de niños (as) según Diagnóstico Nutricional Integrado. ","")</f>
        <v/>
      </c>
      <c r="CG11" s="383" t="str">
        <f>IF(N11+O11&lt;&gt;N38+O38,"* El Total de niños (as) en Control de 4 meses debe ser igual al Total de niños (as) según Diagnóstico Nutricional Integrado. ","")</f>
        <v/>
      </c>
      <c r="CH11" s="383" t="str">
        <f>IF(P11+Q11&lt;&gt;P38+Q38,"* El Total de niños (as) en Control de 5 meses debe ser igual al Total de niños (as) según Diagnóstico Nutricional Integrado. ","")</f>
        <v/>
      </c>
      <c r="CI11" s="383" t="str">
        <f>IF($R$11+$S$11&lt;&gt;$R$38+$S$38,"* El Total de niños (as) en Control de 6 meses debe ser igual al Total de niños (as) según Diagnóstico Nutricional Integrado. ","")</f>
        <v/>
      </c>
      <c r="CJ11" s="383" t="str">
        <f>IF($T$11+$U$11&lt;&gt;$T$38+$U$38,"* El Total de niños (as) en Control de 7 a 11 meses debe ser igual al Total de niños (as) según Diagnóstico Nutricional Integrado. ","")</f>
        <v/>
      </c>
      <c r="CK11" s="383" t="str">
        <f>IF($V$11+$W$11&lt;&gt;$V$38+$W$38,"* El Total de niños (as) en Control de 12 a 17 meses debe ser igual al Total de niños (as) según Diagnóstico Nutricional Integrado. ","")</f>
        <v/>
      </c>
      <c r="CL11" s="384" t="str">
        <f>IF($X$11+$Y$11&lt;&gt;$X$38+$Y$38,"* El Total de niños (as) en Control de 18 a 23 meses debe ser igual al Total de niños (as) según Diagnóstico Nutricional Integrado. ","")</f>
        <v/>
      </c>
      <c r="CM11" s="384" t="str">
        <f>IF($Z$11+$AA$11&lt;&gt;$Z$38+$AA$38,"* El Total de niños (as) en Control de 24 a 35 meses debe ser igual al Total de niños (as) según Diagnóstico Nutricional Integrado. ","")</f>
        <v/>
      </c>
      <c r="CN11" s="384" t="str">
        <f>IF($AB$11+$AC$11&lt;&gt;$AB$38+$AC$38,"* El Total de niños (as) en Control de 36 a 41 meses debe ser igual al Total de niños (as) según Diagnóstico Nutricional Integrado. ","")</f>
        <v/>
      </c>
      <c r="CO11" s="384" t="str">
        <f>IF($AD$11+$AE$11&lt;&gt;$AD$38+$AE$38,"* El Total de niños (as) en Control de 42 a 47 meses debe ser igual al Total de niños (as) según Diagnóstico Nutricional Integrado. ","")</f>
        <v/>
      </c>
      <c r="CP11" s="384" t="str">
        <f>IF($AF$11+$AG$11&lt;&gt;$AF$38+$AG$38,"* El Total de niños (as) en Control de 48 a 59 meses debe ser igual al Total de niños (as) según Diagnóstico Nutricional Integrado. ","")</f>
        <v/>
      </c>
      <c r="CQ11" s="384" t="str">
        <f>IF($C11&gt;=$AH11+$AI11,"","* El Total de Pueblos Originarios no debe ser mayor al Total de niños (as) en control. ")</f>
        <v/>
      </c>
      <c r="CR11" s="384" t="str">
        <f>IF($C11&gt;=$AJ11+$AK11,"","* El Total de Población Migrantes no debe ser mayor al Total de niños (as) en control. ")</f>
        <v/>
      </c>
      <c r="CS11" s="384" t="str">
        <f>IF($AH$11+$AI$11&lt;&gt;$AH$38+$AI$38,"* El Total de niños (as) en Control de Pueblos Originarios debe ser igual al Total de niños (as) según Diagnóstico Nutricional Integrado. ","")</f>
        <v/>
      </c>
      <c r="CT11" s="384" t="str">
        <f>IF($AJ$11+$AK$11&lt;&gt;$AJ$38+$AK$38,"* El Total de niños (as) en Control de Población Migrantes debe ser igual al Total de niños (as) según Diagnóstico Nutricional Integrado. ","")</f>
        <v/>
      </c>
      <c r="CU11" s="383" t="str">
        <f>IF(AND(D11&gt;0,OR(AH11=""))," * No olvide digitar la variable Pueblos Originarios Hombres (Digite Cero si no tiene).",IF(AH11&gt;D11," * La variable Pueblos Originarios Hombres no puede ser Mayor al Total Hombres.",""))</f>
        <v/>
      </c>
      <c r="CV11" s="383" t="str">
        <f>IF(AND(E11&gt;0,OR(AI11=""))," * No olvide digitar la variable Pueblos Originarios Mujeres (Digite Cero si no tiene).",IF(AI11&gt;E11," * La variable Pueblos Originarios Mujeres no puede ser Mayor al Total Mujeres.",""))</f>
        <v/>
      </c>
      <c r="CW11" s="383" t="str">
        <f>IF(AND(D11&gt;0,OR(AJ11=""))," * No olvide digitar la variable Migrantes Hombres (Digite Cero si no tiene).",IF(AJ11&gt;D11," * La variable Migrantes Hombres no puede ser Mayor al Total.",""))</f>
        <v/>
      </c>
      <c r="CX11" s="383" t="str">
        <f>IF(AND(E11&gt;0,OR(AK11=""))," * No olvide digitar la variable Migrantes Mujeres (Digite Cero si no tiene).",IF(AK11&gt;E11," * La variable Migrantes Mujeres no puede ser Mayor al Total.",""))</f>
        <v/>
      </c>
      <c r="CY11" s="384" t="str">
        <f>IF($AH$11+$AI$11&lt;&gt;$AH$38+$AI$38,"* El Total de niños (as) en Control de Población Migrantes debe ser igual al Total de niños (as) según Diagnóstico Nutricional Integrado. ","")</f>
        <v/>
      </c>
      <c r="CZ11" s="384" t="str">
        <f>IF($AJ$11+$AK$11&lt;&gt;$AJ$38+$AK$38,"* El Total de niños (as) en Control de Población Migrantes debe ser igual al Total de niños (as) según Diagnóstico Nutricional Integrado. ","")</f>
        <v/>
      </c>
      <c r="DA11" s="355"/>
      <c r="DB11" s="355"/>
      <c r="DC11" s="355"/>
      <c r="DD11" s="385">
        <f>IF($H$11+$I$11&lt;&gt;$H$38+$I$38,1,0)</f>
        <v>0</v>
      </c>
      <c r="DE11" s="385">
        <f>IF($J$11+$K$11&lt;&gt;$J$38+$K$38,1,0)</f>
        <v>0</v>
      </c>
      <c r="DF11" s="385">
        <f>IF($L$11+$M$11&lt;&gt;$L$38+$M$38,1,0)</f>
        <v>0</v>
      </c>
      <c r="DG11" s="385">
        <f>IF($N$11+$O$11&lt;&gt;$N$38+$O$38,1,0)</f>
        <v>0</v>
      </c>
      <c r="DH11" s="385">
        <f>IF($P$11+$Q$11&lt;&gt;$P$38+$Q$38,1,0)</f>
        <v>0</v>
      </c>
      <c r="DI11" s="385">
        <f>IF($R$11+$S$11&lt;&gt;$R$38+$S$38,1,0)</f>
        <v>0</v>
      </c>
      <c r="DJ11" s="385">
        <f>IF($T$11+$U$11&lt;&gt;$T$38+$U$38,1,0)</f>
        <v>0</v>
      </c>
      <c r="DK11" s="385">
        <f>IF($V$11+$W$11&lt;&gt;$V$38+$W$38,1,0)</f>
        <v>0</v>
      </c>
      <c r="DL11" s="385">
        <f>IF($X$11+$Y$11&lt;&gt;$X$38+$Y$38,1,0)</f>
        <v>0</v>
      </c>
      <c r="DM11" s="385">
        <f>IF($Z$11+$AA$11&lt;&gt;$Z$38+$AA$38,1,0)</f>
        <v>0</v>
      </c>
      <c r="DN11" s="385">
        <f>IF($AB$11+$AC$11&lt;&gt;$AB$38+$AC$38,1,0)</f>
        <v>0</v>
      </c>
      <c r="DO11" s="385">
        <f>IF($AD$11+$AE$11&lt;&gt;$AD$38+$AE$38,1,0)</f>
        <v>0</v>
      </c>
      <c r="DP11" s="385">
        <f>IF($AF$11+$AG$11&lt;&gt;$AF$38+$AG$38,1,0)</f>
        <v>0</v>
      </c>
      <c r="DQ11" s="385">
        <f>IF(AND(D11&gt;0,OR(AH11="")),1,IF(AH11&gt;D11,1,0))</f>
        <v>0</v>
      </c>
      <c r="DR11" s="385">
        <f>IF(AND(E11&gt;0,OR(AI11="")),1,IF(AI11&gt;E11,1,0))</f>
        <v>0</v>
      </c>
      <c r="DS11" s="385">
        <f>IF(AND(D11&gt;0,OR(AJ11="")),1,IF(AJ11&gt;D11,1,0))</f>
        <v>0</v>
      </c>
      <c r="DT11" s="385">
        <f>IF(AND(E11&gt;0,OR(AK11="")),1,IF(AK11&gt;E11,1,0))</f>
        <v>0</v>
      </c>
      <c r="DU11" s="385">
        <f>IF($AH$11+$AI$11&lt;&gt;$AH$38+$AI$38,1,0)</f>
        <v>0</v>
      </c>
      <c r="DV11" s="385">
        <f>IF($AJ$11+$AK$11&lt;&gt;$AJ$38+$AK$38,1,0)</f>
        <v>0</v>
      </c>
    </row>
    <row r="12" spans="1:131" ht="21.75" customHeight="1">
      <c r="A12" s="1872" t="s">
        <v>181</v>
      </c>
      <c r="B12" s="386" t="s">
        <v>182</v>
      </c>
      <c r="C12" s="387">
        <f t="shared" ref="C12:C38" si="0">SUM(D12:E12)</f>
        <v>0</v>
      </c>
      <c r="D12" s="388">
        <f t="shared" ref="D12:E30" si="1">+F12+H12+J12+L12+N12+P12+R12+T12+V12+X12+Z12+AB12+AD12+AF12</f>
        <v>0</v>
      </c>
      <c r="E12" s="389">
        <f t="shared" si="1"/>
        <v>0</v>
      </c>
      <c r="F12" s="390"/>
      <c r="G12" s="391"/>
      <c r="H12" s="390"/>
      <c r="I12" s="392"/>
      <c r="J12" s="390"/>
      <c r="K12" s="392"/>
      <c r="L12" s="390"/>
      <c r="M12" s="393"/>
      <c r="N12" s="390"/>
      <c r="O12" s="392"/>
      <c r="P12" s="390"/>
      <c r="Q12" s="392"/>
      <c r="R12" s="394"/>
      <c r="S12" s="392"/>
      <c r="T12" s="390"/>
      <c r="U12" s="393"/>
      <c r="V12" s="390"/>
      <c r="W12" s="392"/>
      <c r="X12" s="390"/>
      <c r="Y12" s="392"/>
      <c r="Z12" s="390"/>
      <c r="AA12" s="392"/>
      <c r="AB12" s="390"/>
      <c r="AC12" s="395"/>
      <c r="AD12" s="396"/>
      <c r="AE12" s="392"/>
      <c r="AF12" s="390"/>
      <c r="AG12" s="392"/>
      <c r="AH12" s="397"/>
      <c r="AI12" s="398"/>
      <c r="AJ12" s="394"/>
      <c r="AK12" s="392"/>
      <c r="AL12" s="381" t="str">
        <f>($CU12&amp;CV12&amp;CW12&amp;CX12)</f>
        <v/>
      </c>
      <c r="AM12" s="346"/>
      <c r="AN12" s="346"/>
      <c r="AO12" s="346"/>
      <c r="AP12" s="346"/>
      <c r="AQ12" s="346"/>
      <c r="AR12" s="346"/>
      <c r="AS12" s="346"/>
      <c r="AT12" s="346"/>
      <c r="AU12" s="346"/>
      <c r="AV12" s="346"/>
      <c r="BF12" s="5"/>
      <c r="BG12" s="5"/>
      <c r="BH12" s="5"/>
      <c r="BI12" s="5"/>
      <c r="BJ12" s="5"/>
      <c r="BK12" s="5"/>
      <c r="BL12" s="5"/>
      <c r="BM12" s="5"/>
      <c r="BN12" s="5"/>
      <c r="BR12" s="346"/>
      <c r="BS12" s="346"/>
      <c r="CC12" s="382"/>
      <c r="CD12" s="290"/>
      <c r="CE12" s="290"/>
      <c r="CF12" s="290"/>
      <c r="CG12" s="290"/>
      <c r="CH12" s="290"/>
      <c r="CI12" s="290"/>
      <c r="CJ12" s="290"/>
      <c r="CK12" s="290"/>
      <c r="CL12" s="290"/>
      <c r="CM12" s="290"/>
      <c r="CN12" s="355"/>
      <c r="CO12" s="355"/>
      <c r="CP12" s="355"/>
      <c r="CQ12" s="355"/>
      <c r="CR12" s="355"/>
      <c r="CS12" s="355"/>
      <c r="CT12" s="355"/>
      <c r="CU12" s="383" t="str">
        <f t="shared" ref="CU12:CU39" si="2">IF(AND(D12&gt;0,OR(AH12=""))," * No olvide digitar la variable Pueblos Originarios Hombres (Digite Cero si no tiene).",IF(AH12&gt;D12," * La variable Pueblos Originarios Hombres no puede ser Mayor al Total Hombres.",""))</f>
        <v/>
      </c>
      <c r="CV12" s="383" t="str">
        <f t="shared" ref="CV12:CV13" si="3">IF(AND(E12&gt;0,OR(AI12=""))," * No olvide digitar la variable Pueblos Originarios Mujeres (Digite Cero si no tiene).",IF(AI12&gt;E12," * La variable Pueblos Originarios Mujeres no puede ser Mayor al Total Mujeres.",""))</f>
        <v/>
      </c>
      <c r="CW12" s="383" t="str">
        <f t="shared" ref="CW12:CW13" si="4">IF(AND(D12&gt;0,OR(AJ12=""))," * No olvide digitar la variable Migrantes Hombres (Digite Cero si no tiene).",IF(AJ12&gt;D12," * La variable Migrantes Hombres no puede ser Mayor al Total.",""))</f>
        <v/>
      </c>
      <c r="CX12" s="383" t="str">
        <f t="shared" ref="CX12:CX13" si="5">IF(AND(E12&gt;0,OR(AK12=""))," * No olvide digitar la variable Migrantes Mujeres (Digite Cero si no tiene).",IF(AK12&gt;E12," * La variable Migrantes Mujeres no puede ser Mayor al Total.",""))</f>
        <v/>
      </c>
      <c r="CY12" s="355"/>
      <c r="CZ12" s="355"/>
      <c r="DA12" s="355"/>
      <c r="DB12" s="355"/>
      <c r="DC12" s="355"/>
      <c r="DD12" s="142"/>
      <c r="DE12" s="142"/>
      <c r="DF12" s="142"/>
      <c r="DG12" s="142"/>
      <c r="DH12" s="142"/>
      <c r="DI12" s="142"/>
      <c r="DJ12" s="142"/>
      <c r="DK12" s="142"/>
      <c r="DL12" s="142"/>
      <c r="DM12" s="142"/>
      <c r="DN12" s="142"/>
      <c r="DO12" s="142"/>
      <c r="DP12" s="142"/>
      <c r="DQ12" s="385">
        <f t="shared" ref="DQ12:DR13" si="6">IF(AND(D12&gt;0,OR(AH12="")),1,IF(AH12&gt;D12,1,0))</f>
        <v>0</v>
      </c>
      <c r="DR12" s="385">
        <f t="shared" si="6"/>
        <v>0</v>
      </c>
      <c r="DS12" s="385">
        <f t="shared" ref="DS12:DT13" si="7">IF(AND(D12&gt;0,OR(AJ12="")),1,IF(AJ12&gt;D12,1,0))</f>
        <v>0</v>
      </c>
      <c r="DT12" s="385">
        <f t="shared" si="7"/>
        <v>0</v>
      </c>
      <c r="DU12" s="142"/>
      <c r="DV12" s="142"/>
    </row>
    <row r="13" spans="1:131" ht="21.75" customHeight="1">
      <c r="A13" s="1873"/>
      <c r="B13" s="399" t="s">
        <v>183</v>
      </c>
      <c r="C13" s="400">
        <f t="shared" si="0"/>
        <v>0</v>
      </c>
      <c r="D13" s="367">
        <f t="shared" si="1"/>
        <v>0</v>
      </c>
      <c r="E13" s="368">
        <f t="shared" si="1"/>
        <v>0</v>
      </c>
      <c r="F13" s="401"/>
      <c r="G13" s="402"/>
      <c r="H13" s="401"/>
      <c r="I13" s="403"/>
      <c r="J13" s="401"/>
      <c r="K13" s="403"/>
      <c r="L13" s="401"/>
      <c r="M13" s="404"/>
      <c r="N13" s="401"/>
      <c r="O13" s="403"/>
      <c r="P13" s="401"/>
      <c r="Q13" s="403"/>
      <c r="R13" s="405"/>
      <c r="S13" s="403"/>
      <c r="T13" s="401"/>
      <c r="U13" s="404"/>
      <c r="V13" s="401"/>
      <c r="W13" s="403"/>
      <c r="X13" s="401"/>
      <c r="Y13" s="403"/>
      <c r="Z13" s="401"/>
      <c r="AA13" s="403"/>
      <c r="AB13" s="401"/>
      <c r="AC13" s="406"/>
      <c r="AD13" s="407"/>
      <c r="AE13" s="403"/>
      <c r="AF13" s="401"/>
      <c r="AG13" s="403"/>
      <c r="AH13" s="408"/>
      <c r="AI13" s="409"/>
      <c r="AJ13" s="405"/>
      <c r="AK13" s="403"/>
      <c r="AL13" s="381" t="str">
        <f>($CU13&amp;CV13&amp;CW13&amp;CX13)</f>
        <v/>
      </c>
      <c r="AM13" s="346"/>
      <c r="AN13" s="346"/>
      <c r="AO13" s="346"/>
      <c r="AP13" s="346"/>
      <c r="AQ13" s="346"/>
      <c r="AR13" s="346"/>
      <c r="AS13" s="346"/>
      <c r="AT13" s="346"/>
      <c r="AU13" s="346"/>
      <c r="AV13" s="346"/>
      <c r="BF13" s="5"/>
      <c r="BG13" s="5"/>
      <c r="BH13" s="5"/>
      <c r="BI13" s="5"/>
      <c r="BJ13" s="5"/>
      <c r="BK13" s="5"/>
      <c r="BL13" s="5"/>
      <c r="BM13" s="5"/>
      <c r="BN13" s="5"/>
      <c r="BR13" s="346"/>
      <c r="BS13" s="346"/>
      <c r="CC13" s="382"/>
      <c r="CD13" s="290"/>
      <c r="CE13" s="290"/>
      <c r="CF13" s="290"/>
      <c r="CG13" s="290"/>
      <c r="CH13" s="290"/>
      <c r="CI13" s="290"/>
      <c r="CJ13" s="290"/>
      <c r="CK13" s="290"/>
      <c r="CL13" s="290"/>
      <c r="CM13" s="290"/>
      <c r="CN13" s="355"/>
      <c r="CO13" s="355"/>
      <c r="CP13" s="355"/>
      <c r="CQ13" s="355"/>
      <c r="CR13" s="355"/>
      <c r="CS13" s="355"/>
      <c r="CT13" s="355"/>
      <c r="CU13" s="383" t="str">
        <f t="shared" si="2"/>
        <v/>
      </c>
      <c r="CV13" s="383" t="str">
        <f t="shared" si="3"/>
        <v/>
      </c>
      <c r="CW13" s="383" t="str">
        <f t="shared" si="4"/>
        <v/>
      </c>
      <c r="CX13" s="383" t="str">
        <f t="shared" si="5"/>
        <v/>
      </c>
      <c r="CY13" s="355"/>
      <c r="CZ13" s="355"/>
      <c r="DA13" s="355"/>
      <c r="DB13" s="355"/>
      <c r="DC13" s="355"/>
      <c r="DD13" s="142"/>
      <c r="DE13" s="142"/>
      <c r="DF13" s="142"/>
      <c r="DG13" s="142"/>
      <c r="DH13" s="142"/>
      <c r="DI13" s="142"/>
      <c r="DJ13" s="142"/>
      <c r="DK13" s="142"/>
      <c r="DL13" s="142"/>
      <c r="DM13" s="142"/>
      <c r="DN13" s="142"/>
      <c r="DO13" s="142"/>
      <c r="DP13" s="142"/>
      <c r="DQ13" s="385">
        <f t="shared" si="6"/>
        <v>0</v>
      </c>
      <c r="DR13" s="385">
        <f t="shared" si="6"/>
        <v>0</v>
      </c>
      <c r="DS13" s="385">
        <f t="shared" si="7"/>
        <v>0</v>
      </c>
      <c r="DT13" s="385">
        <f t="shared" si="7"/>
        <v>0</v>
      </c>
      <c r="DU13" s="142"/>
      <c r="DV13" s="142"/>
    </row>
    <row r="14" spans="1:131" ht="21.75" customHeight="1">
      <c r="A14" s="1873"/>
      <c r="B14" s="410" t="s">
        <v>5</v>
      </c>
      <c r="C14" s="411">
        <f t="shared" si="0"/>
        <v>0</v>
      </c>
      <c r="D14" s="367">
        <f t="shared" si="1"/>
        <v>0</v>
      </c>
      <c r="E14" s="368">
        <f t="shared" si="1"/>
        <v>0</v>
      </c>
      <c r="F14" s="412">
        <f>+SUM(F12:F13)</f>
        <v>0</v>
      </c>
      <c r="G14" s="413">
        <f>+SUM(G12:G13)</f>
        <v>0</v>
      </c>
      <c r="H14" s="412">
        <f>+SUM(H12:H13)</f>
        <v>0</v>
      </c>
      <c r="I14" s="414">
        <f t="shared" ref="I14:T14" si="8">+SUM(I12:I13)</f>
        <v>0</v>
      </c>
      <c r="J14" s="412">
        <f t="shared" si="8"/>
        <v>0</v>
      </c>
      <c r="K14" s="414">
        <f t="shared" si="8"/>
        <v>0</v>
      </c>
      <c r="L14" s="412">
        <f t="shared" si="8"/>
        <v>0</v>
      </c>
      <c r="M14" s="415">
        <f t="shared" si="8"/>
        <v>0</v>
      </c>
      <c r="N14" s="412">
        <f t="shared" si="8"/>
        <v>0</v>
      </c>
      <c r="O14" s="414">
        <f t="shared" si="8"/>
        <v>0</v>
      </c>
      <c r="P14" s="412">
        <f t="shared" si="8"/>
        <v>0</v>
      </c>
      <c r="Q14" s="414">
        <f t="shared" si="8"/>
        <v>0</v>
      </c>
      <c r="R14" s="413">
        <f t="shared" si="8"/>
        <v>0</v>
      </c>
      <c r="S14" s="414">
        <f t="shared" si="8"/>
        <v>0</v>
      </c>
      <c r="T14" s="412">
        <f t="shared" si="8"/>
        <v>0</v>
      </c>
      <c r="U14" s="415">
        <f>+SUM(U12:U13)</f>
        <v>0</v>
      </c>
      <c r="V14" s="412">
        <f>SUM(V12:V13)</f>
        <v>0</v>
      </c>
      <c r="W14" s="414">
        <f t="shared" ref="W14:AG14" si="9">SUM(W12:W13)</f>
        <v>0</v>
      </c>
      <c r="X14" s="412">
        <f>SUM(X12:X13)</f>
        <v>0</v>
      </c>
      <c r="Y14" s="414">
        <f t="shared" si="9"/>
        <v>0</v>
      </c>
      <c r="Z14" s="412">
        <f t="shared" si="9"/>
        <v>0</v>
      </c>
      <c r="AA14" s="414">
        <f t="shared" si="9"/>
        <v>0</v>
      </c>
      <c r="AB14" s="413">
        <f t="shared" si="9"/>
        <v>0</v>
      </c>
      <c r="AC14" s="415">
        <f t="shared" si="9"/>
        <v>0</v>
      </c>
      <c r="AD14" s="416">
        <f t="shared" si="9"/>
        <v>0</v>
      </c>
      <c r="AE14" s="414">
        <f t="shared" si="9"/>
        <v>0</v>
      </c>
      <c r="AF14" s="412">
        <f>SUM(AF12:AF13)</f>
        <v>0</v>
      </c>
      <c r="AG14" s="414">
        <f t="shared" si="9"/>
        <v>0</v>
      </c>
      <c r="AH14" s="417">
        <f>+SUM(AH12:AH13)</f>
        <v>0</v>
      </c>
      <c r="AI14" s="418">
        <f>+SUM(AI12:AI13)</f>
        <v>0</v>
      </c>
      <c r="AJ14" s="413">
        <f>+SUM(AJ12:AJ13)</f>
        <v>0</v>
      </c>
      <c r="AK14" s="414">
        <f>+SUM(AK12:AK13)</f>
        <v>0</v>
      </c>
      <c r="AL14" s="381" t="str">
        <f>($CD14&amp;CE14)</f>
        <v/>
      </c>
      <c r="AM14" s="346"/>
      <c r="AN14" s="346"/>
      <c r="AO14" s="346"/>
      <c r="AP14" s="346"/>
      <c r="AQ14" s="346"/>
      <c r="AR14" s="346"/>
      <c r="AS14" s="346"/>
      <c r="AT14" s="346"/>
      <c r="AU14" s="346"/>
      <c r="AV14" s="346"/>
      <c r="BF14" s="5"/>
      <c r="BG14" s="5"/>
      <c r="BH14" s="5"/>
      <c r="BI14" s="5"/>
      <c r="BJ14" s="5"/>
      <c r="BK14" s="5"/>
      <c r="BL14" s="5"/>
      <c r="BM14" s="5"/>
      <c r="BN14" s="5"/>
      <c r="BR14" s="346"/>
      <c r="BS14" s="346"/>
      <c r="CC14" s="382"/>
      <c r="CD14" s="290"/>
      <c r="CE14" s="290"/>
      <c r="CF14" s="290"/>
      <c r="CG14" s="290"/>
      <c r="CH14" s="290"/>
      <c r="CI14" s="290"/>
      <c r="CJ14" s="290"/>
      <c r="CK14" s="290"/>
      <c r="CL14" s="290"/>
      <c r="CM14" s="290"/>
      <c r="CN14" s="355"/>
      <c r="CO14" s="355"/>
      <c r="CP14" s="355"/>
      <c r="CQ14" s="355"/>
      <c r="CR14" s="355"/>
      <c r="CS14" s="355"/>
      <c r="CT14" s="355"/>
      <c r="CU14" s="355"/>
      <c r="CV14" s="355"/>
      <c r="CW14" s="355"/>
      <c r="CX14" s="355"/>
      <c r="CY14" s="355"/>
      <c r="CZ14" s="355"/>
      <c r="DA14" s="355"/>
      <c r="DB14" s="355"/>
      <c r="DC14" s="355"/>
      <c r="DD14" s="142"/>
      <c r="DE14" s="142"/>
      <c r="DF14" s="142"/>
      <c r="DG14" s="142"/>
      <c r="DH14" s="142"/>
      <c r="DI14" s="142"/>
      <c r="DJ14" s="142"/>
      <c r="DK14" s="142"/>
      <c r="DL14" s="142"/>
      <c r="DM14" s="142"/>
      <c r="DN14" s="142"/>
      <c r="DO14" s="142"/>
      <c r="DP14" s="142"/>
      <c r="DQ14" s="142"/>
      <c r="DR14" s="142"/>
      <c r="DS14" s="142"/>
      <c r="DT14" s="142"/>
      <c r="DU14" s="142"/>
      <c r="DV14" s="142"/>
    </row>
    <row r="15" spans="1:131" ht="21.75" customHeight="1">
      <c r="A15" s="1873"/>
      <c r="B15" s="419" t="s">
        <v>184</v>
      </c>
      <c r="C15" s="387">
        <f t="shared" si="0"/>
        <v>0</v>
      </c>
      <c r="D15" s="388">
        <f t="shared" si="1"/>
        <v>0</v>
      </c>
      <c r="E15" s="389">
        <f t="shared" si="1"/>
        <v>0</v>
      </c>
      <c r="F15" s="390"/>
      <c r="G15" s="391"/>
      <c r="H15" s="390"/>
      <c r="I15" s="394"/>
      <c r="J15" s="390"/>
      <c r="K15" s="394"/>
      <c r="L15" s="390"/>
      <c r="M15" s="393"/>
      <c r="N15" s="390"/>
      <c r="O15" s="392"/>
      <c r="P15" s="390"/>
      <c r="Q15" s="392"/>
      <c r="R15" s="394"/>
      <c r="S15" s="394"/>
      <c r="T15" s="390"/>
      <c r="U15" s="395"/>
      <c r="V15" s="390"/>
      <c r="W15" s="392"/>
      <c r="X15" s="390"/>
      <c r="Y15" s="392"/>
      <c r="Z15" s="390"/>
      <c r="AA15" s="392"/>
      <c r="AB15" s="394"/>
      <c r="AC15" s="395"/>
      <c r="AD15" s="396"/>
      <c r="AE15" s="392"/>
      <c r="AF15" s="390"/>
      <c r="AG15" s="392"/>
      <c r="AH15" s="397"/>
      <c r="AI15" s="398"/>
      <c r="AJ15" s="394"/>
      <c r="AK15" s="392"/>
      <c r="AL15" s="381" t="str">
        <f>($CU15&amp;CV15&amp;CW15&amp;CX15)</f>
        <v/>
      </c>
      <c r="AM15" s="346"/>
      <c r="AN15" s="346"/>
      <c r="AO15" s="346"/>
      <c r="AP15" s="346"/>
      <c r="AQ15" s="346"/>
      <c r="AR15" s="346"/>
      <c r="AS15" s="346"/>
      <c r="AT15" s="346"/>
      <c r="AU15" s="346"/>
      <c r="AV15" s="346"/>
      <c r="BF15" s="5"/>
      <c r="BG15" s="5"/>
      <c r="BH15" s="5"/>
      <c r="BI15" s="5"/>
      <c r="BJ15" s="5"/>
      <c r="BK15" s="5"/>
      <c r="BL15" s="5"/>
      <c r="BM15" s="5"/>
      <c r="BN15" s="5"/>
      <c r="BR15" s="346"/>
      <c r="BS15" s="346"/>
      <c r="CC15" s="382"/>
      <c r="CD15" s="290"/>
      <c r="CE15" s="290"/>
      <c r="CF15" s="290"/>
      <c r="CG15" s="290"/>
      <c r="CH15" s="290"/>
      <c r="CI15" s="290"/>
      <c r="CJ15" s="290"/>
      <c r="CK15" s="290"/>
      <c r="CL15" s="290"/>
      <c r="CM15" s="290"/>
      <c r="CN15" s="355"/>
      <c r="CO15" s="355"/>
      <c r="CP15" s="355"/>
      <c r="CQ15" s="355"/>
      <c r="CR15" s="355"/>
      <c r="CS15" s="355"/>
      <c r="CT15" s="355"/>
      <c r="CU15" s="383" t="str">
        <f t="shared" si="2"/>
        <v/>
      </c>
      <c r="CV15" s="383" t="str">
        <f t="shared" ref="CV15:CV16" si="10">IF(AND(E15&gt;0,OR(AI15=""))," * No olvide digitar la variable Pueblos Originarios Mujeres (Digite Cero si no tiene).",IF(AI15&gt;E15," * La variable Pueblos Originarios Mujeres no puede ser Mayor al Total Mujeres.",""))</f>
        <v/>
      </c>
      <c r="CW15" s="383" t="str">
        <f t="shared" ref="CW15:CW16" si="11">IF(AND(D15&gt;0,OR(AJ15=""))," * No olvide digitar la variable Migrantes Hombres (Digite Cero si no tiene).",IF(AJ15&gt;D15," * La variable Migrantes Hombres no puede ser Mayor al Total.",""))</f>
        <v/>
      </c>
      <c r="CX15" s="383" t="str">
        <f t="shared" ref="CX15:CX16" si="12">IF(AND(E15&gt;0,OR(AK15=""))," * No olvide digitar la variable Migrantes Mujeres (Digite Cero si no tiene).",IF(AK15&gt;E15," * La variable Migrantes Mujeres no puede ser Mayor al Total.",""))</f>
        <v/>
      </c>
      <c r="CY15" s="355"/>
      <c r="CZ15" s="355"/>
      <c r="DA15" s="355"/>
      <c r="DB15" s="355"/>
      <c r="DC15" s="355"/>
      <c r="DD15" s="142"/>
      <c r="DE15" s="142"/>
      <c r="DF15" s="142"/>
      <c r="DG15" s="142"/>
      <c r="DH15" s="142"/>
      <c r="DI15" s="142"/>
      <c r="DJ15" s="142"/>
      <c r="DK15" s="142"/>
      <c r="DL15" s="142"/>
      <c r="DM15" s="142"/>
      <c r="DN15" s="142"/>
      <c r="DO15" s="142"/>
      <c r="DP15" s="142"/>
      <c r="DQ15" s="385">
        <f t="shared" ref="DQ15:DR16" si="13">IF(AND(D15&gt;0,OR(AH15="")),1,IF(AH15&gt;D15,1,0))</f>
        <v>0</v>
      </c>
      <c r="DR15" s="385">
        <f t="shared" si="13"/>
        <v>0</v>
      </c>
      <c r="DS15" s="385">
        <f t="shared" ref="DS15:DT16" si="14">IF(AND(D15&gt;0,OR(AJ15="")),1,IF(AJ15&gt;D15,1,0))</f>
        <v>0</v>
      </c>
      <c r="DT15" s="385">
        <f t="shared" si="14"/>
        <v>0</v>
      </c>
      <c r="DU15" s="142"/>
      <c r="DV15" s="142"/>
    </row>
    <row r="16" spans="1:131" ht="21.75" customHeight="1">
      <c r="A16" s="1873"/>
      <c r="B16" s="399" t="s">
        <v>185</v>
      </c>
      <c r="C16" s="420">
        <f t="shared" si="0"/>
        <v>0</v>
      </c>
      <c r="D16" s="367">
        <f t="shared" si="1"/>
        <v>0</v>
      </c>
      <c r="E16" s="368">
        <f t="shared" si="1"/>
        <v>0</v>
      </c>
      <c r="F16" s="401"/>
      <c r="G16" s="402"/>
      <c r="H16" s="401"/>
      <c r="I16" s="405"/>
      <c r="J16" s="401"/>
      <c r="K16" s="405"/>
      <c r="L16" s="401"/>
      <c r="M16" s="404"/>
      <c r="N16" s="401"/>
      <c r="O16" s="403"/>
      <c r="P16" s="401"/>
      <c r="Q16" s="403"/>
      <c r="R16" s="405"/>
      <c r="S16" s="405"/>
      <c r="T16" s="401"/>
      <c r="U16" s="406"/>
      <c r="V16" s="401"/>
      <c r="W16" s="403"/>
      <c r="X16" s="401"/>
      <c r="Y16" s="403"/>
      <c r="Z16" s="401"/>
      <c r="AA16" s="403"/>
      <c r="AB16" s="405"/>
      <c r="AC16" s="406"/>
      <c r="AD16" s="407"/>
      <c r="AE16" s="403"/>
      <c r="AF16" s="401"/>
      <c r="AG16" s="403"/>
      <c r="AH16" s="408"/>
      <c r="AI16" s="409"/>
      <c r="AJ16" s="405"/>
      <c r="AK16" s="403"/>
      <c r="AL16" s="381" t="str">
        <f>($CU16&amp;CV16&amp;CW16&amp;CX16)</f>
        <v/>
      </c>
      <c r="AM16" s="346"/>
      <c r="AN16" s="346"/>
      <c r="AO16" s="346"/>
      <c r="AP16" s="346"/>
      <c r="AQ16" s="346"/>
      <c r="AR16" s="346"/>
      <c r="AS16" s="346"/>
      <c r="AT16" s="346"/>
      <c r="AU16" s="346"/>
      <c r="AV16" s="346"/>
      <c r="BF16" s="5"/>
      <c r="BG16" s="5"/>
      <c r="BH16" s="5"/>
      <c r="BI16" s="5"/>
      <c r="BJ16" s="5"/>
      <c r="BK16" s="5"/>
      <c r="BL16" s="5"/>
      <c r="BM16" s="5"/>
      <c r="BN16" s="5"/>
      <c r="BR16" s="346"/>
      <c r="BS16" s="346"/>
      <c r="CC16" s="382"/>
      <c r="CD16" s="290"/>
      <c r="CE16" s="290"/>
      <c r="CF16" s="290"/>
      <c r="CG16" s="290"/>
      <c r="CH16" s="290"/>
      <c r="CI16" s="290"/>
      <c r="CJ16" s="290"/>
      <c r="CK16" s="290"/>
      <c r="CL16" s="290"/>
      <c r="CM16" s="290"/>
      <c r="CN16" s="355"/>
      <c r="CO16" s="355"/>
      <c r="CP16" s="355"/>
      <c r="CQ16" s="355"/>
      <c r="CR16" s="355"/>
      <c r="CS16" s="355"/>
      <c r="CT16" s="355"/>
      <c r="CU16" s="383" t="str">
        <f t="shared" si="2"/>
        <v/>
      </c>
      <c r="CV16" s="383" t="str">
        <f t="shared" si="10"/>
        <v/>
      </c>
      <c r="CW16" s="383" t="str">
        <f t="shared" si="11"/>
        <v/>
      </c>
      <c r="CX16" s="383" t="str">
        <f t="shared" si="12"/>
        <v/>
      </c>
      <c r="CY16" s="355"/>
      <c r="CZ16" s="355"/>
      <c r="DA16" s="355"/>
      <c r="DB16" s="355"/>
      <c r="DC16" s="355"/>
      <c r="DD16" s="142"/>
      <c r="DE16" s="142"/>
      <c r="DF16" s="142"/>
      <c r="DG16" s="142"/>
      <c r="DH16" s="142"/>
      <c r="DI16" s="142"/>
      <c r="DJ16" s="142"/>
      <c r="DK16" s="142"/>
      <c r="DL16" s="142"/>
      <c r="DM16" s="142"/>
      <c r="DN16" s="142"/>
      <c r="DO16" s="142"/>
      <c r="DP16" s="142"/>
      <c r="DQ16" s="385">
        <f t="shared" si="13"/>
        <v>0</v>
      </c>
      <c r="DR16" s="385">
        <f t="shared" si="13"/>
        <v>0</v>
      </c>
      <c r="DS16" s="385">
        <f t="shared" si="14"/>
        <v>0</v>
      </c>
      <c r="DT16" s="385">
        <f t="shared" si="14"/>
        <v>0</v>
      </c>
      <c r="DU16" s="142"/>
      <c r="DV16" s="142"/>
    </row>
    <row r="17" spans="1:126" ht="21.75" customHeight="1">
      <c r="A17" s="1874"/>
      <c r="B17" s="410" t="s">
        <v>5</v>
      </c>
      <c r="C17" s="411">
        <f t="shared" si="0"/>
        <v>0</v>
      </c>
      <c r="D17" s="367">
        <f t="shared" si="1"/>
        <v>0</v>
      </c>
      <c r="E17" s="368">
        <f t="shared" si="1"/>
        <v>0</v>
      </c>
      <c r="F17" s="412">
        <f t="shared" ref="F17:G17" si="15">+SUM(F15:F16)</f>
        <v>0</v>
      </c>
      <c r="G17" s="413">
        <f t="shared" si="15"/>
        <v>0</v>
      </c>
      <c r="H17" s="412">
        <f>SUM(H15:H16)</f>
        <v>0</v>
      </c>
      <c r="I17" s="414">
        <f t="shared" ref="I17:U17" si="16">SUM(I15:I16)</f>
        <v>0</v>
      </c>
      <c r="J17" s="412">
        <f t="shared" si="16"/>
        <v>0</v>
      </c>
      <c r="K17" s="414">
        <f t="shared" si="16"/>
        <v>0</v>
      </c>
      <c r="L17" s="412">
        <f t="shared" si="16"/>
        <v>0</v>
      </c>
      <c r="M17" s="415">
        <f t="shared" si="16"/>
        <v>0</v>
      </c>
      <c r="N17" s="412">
        <f t="shared" si="16"/>
        <v>0</v>
      </c>
      <c r="O17" s="414">
        <f t="shared" si="16"/>
        <v>0</v>
      </c>
      <c r="P17" s="412">
        <f t="shared" si="16"/>
        <v>0</v>
      </c>
      <c r="Q17" s="414">
        <f t="shared" si="16"/>
        <v>0</v>
      </c>
      <c r="R17" s="413">
        <f t="shared" si="16"/>
        <v>0</v>
      </c>
      <c r="S17" s="414">
        <f t="shared" si="16"/>
        <v>0</v>
      </c>
      <c r="T17" s="412">
        <f t="shared" si="16"/>
        <v>0</v>
      </c>
      <c r="U17" s="415">
        <f t="shared" si="16"/>
        <v>0</v>
      </c>
      <c r="V17" s="412">
        <f>SUM(V15:V16)</f>
        <v>0</v>
      </c>
      <c r="W17" s="414">
        <f t="shared" ref="W17:AG17" si="17">SUM(W15:W16)</f>
        <v>0</v>
      </c>
      <c r="X17" s="412">
        <f t="shared" si="17"/>
        <v>0</v>
      </c>
      <c r="Y17" s="414">
        <f t="shared" si="17"/>
        <v>0</v>
      </c>
      <c r="Z17" s="412">
        <f t="shared" si="17"/>
        <v>0</v>
      </c>
      <c r="AA17" s="414">
        <f t="shared" si="17"/>
        <v>0</v>
      </c>
      <c r="AB17" s="413">
        <f t="shared" si="17"/>
        <v>0</v>
      </c>
      <c r="AC17" s="415">
        <f t="shared" si="17"/>
        <v>0</v>
      </c>
      <c r="AD17" s="416">
        <f t="shared" si="17"/>
        <v>0</v>
      </c>
      <c r="AE17" s="414">
        <f t="shared" si="17"/>
        <v>0</v>
      </c>
      <c r="AF17" s="412">
        <f t="shared" si="17"/>
        <v>0</v>
      </c>
      <c r="AG17" s="414">
        <f t="shared" si="17"/>
        <v>0</v>
      </c>
      <c r="AH17" s="417">
        <f>SUM(AH15:AH16)</f>
        <v>0</v>
      </c>
      <c r="AI17" s="418">
        <f>SUM(AI15:AI16)</f>
        <v>0</v>
      </c>
      <c r="AJ17" s="413">
        <f>SUM(AJ15:AJ16)</f>
        <v>0</v>
      </c>
      <c r="AK17" s="414">
        <f>SUM(AK15:AK16)</f>
        <v>0</v>
      </c>
      <c r="AL17" s="381" t="str">
        <f>($CD17&amp;CE17)</f>
        <v/>
      </c>
      <c r="AM17" s="346"/>
      <c r="AN17" s="346"/>
      <c r="AO17" s="346"/>
      <c r="AP17" s="346"/>
      <c r="AQ17" s="346"/>
      <c r="AR17" s="346"/>
      <c r="AS17" s="346"/>
      <c r="AT17" s="346"/>
      <c r="AU17" s="346"/>
      <c r="AV17" s="346"/>
      <c r="BF17" s="5"/>
      <c r="BG17" s="5"/>
      <c r="BH17" s="5"/>
      <c r="BI17" s="5"/>
      <c r="BJ17" s="5"/>
      <c r="BK17" s="5"/>
      <c r="BL17" s="5"/>
      <c r="BM17" s="5"/>
      <c r="BN17" s="5"/>
      <c r="BR17" s="346"/>
      <c r="BS17" s="346"/>
      <c r="CC17" s="382"/>
      <c r="CD17" s="290"/>
      <c r="CE17" s="290"/>
      <c r="CF17" s="290"/>
      <c r="CG17" s="290"/>
      <c r="CH17" s="290"/>
      <c r="CI17" s="290"/>
      <c r="CJ17" s="290"/>
      <c r="CK17" s="290"/>
      <c r="CL17" s="290"/>
      <c r="CM17" s="290"/>
      <c r="CN17" s="355"/>
      <c r="CO17" s="355"/>
      <c r="CP17" s="355"/>
      <c r="CQ17" s="355"/>
      <c r="CR17" s="355"/>
      <c r="CS17" s="355"/>
      <c r="CT17" s="355"/>
      <c r="CU17" s="355"/>
      <c r="CV17" s="355"/>
      <c r="CW17" s="355"/>
      <c r="CX17" s="355"/>
      <c r="CY17" s="355"/>
      <c r="CZ17" s="355"/>
      <c r="DA17" s="355"/>
      <c r="DB17" s="355"/>
      <c r="DC17" s="355"/>
      <c r="DD17" s="142"/>
      <c r="DE17" s="142"/>
      <c r="DF17" s="142"/>
      <c r="DG17" s="142"/>
      <c r="DH17" s="142"/>
      <c r="DI17" s="142"/>
      <c r="DJ17" s="142"/>
      <c r="DK17" s="142"/>
      <c r="DL17" s="142"/>
      <c r="DM17" s="142"/>
      <c r="DN17" s="142"/>
      <c r="DO17" s="142"/>
      <c r="DP17" s="142"/>
      <c r="DQ17" s="142"/>
      <c r="DR17" s="142"/>
      <c r="DS17" s="142"/>
      <c r="DT17" s="142"/>
      <c r="DU17" s="142"/>
      <c r="DV17" s="142"/>
    </row>
    <row r="18" spans="1:126" ht="21.75" customHeight="1">
      <c r="A18" s="1872" t="s">
        <v>186</v>
      </c>
      <c r="B18" s="419" t="s">
        <v>182</v>
      </c>
      <c r="C18" s="421">
        <f t="shared" si="0"/>
        <v>0</v>
      </c>
      <c r="D18" s="388">
        <f t="shared" si="1"/>
        <v>0</v>
      </c>
      <c r="E18" s="389">
        <f t="shared" si="1"/>
        <v>0</v>
      </c>
      <c r="F18" s="390"/>
      <c r="G18" s="391"/>
      <c r="H18" s="390"/>
      <c r="I18" s="394"/>
      <c r="J18" s="390"/>
      <c r="K18" s="394"/>
      <c r="L18" s="390"/>
      <c r="M18" s="393"/>
      <c r="N18" s="390"/>
      <c r="O18" s="392"/>
      <c r="P18" s="390"/>
      <c r="Q18" s="392"/>
      <c r="R18" s="394"/>
      <c r="S18" s="394"/>
      <c r="T18" s="390"/>
      <c r="U18" s="395"/>
      <c r="V18" s="390"/>
      <c r="W18" s="392"/>
      <c r="X18" s="390"/>
      <c r="Y18" s="392"/>
      <c r="Z18" s="390"/>
      <c r="AA18" s="392"/>
      <c r="AB18" s="394"/>
      <c r="AC18" s="395"/>
      <c r="AD18" s="396"/>
      <c r="AE18" s="392"/>
      <c r="AF18" s="390"/>
      <c r="AG18" s="392"/>
      <c r="AH18" s="397"/>
      <c r="AI18" s="398"/>
      <c r="AJ18" s="394"/>
      <c r="AK18" s="392"/>
      <c r="AL18" s="381" t="str">
        <f>($CU18&amp;CV18&amp;CW18&amp;CX18)</f>
        <v/>
      </c>
      <c r="AM18" s="346"/>
      <c r="AN18" s="346"/>
      <c r="AO18" s="346"/>
      <c r="AP18" s="346"/>
      <c r="AQ18" s="346"/>
      <c r="AR18" s="346"/>
      <c r="AS18" s="346"/>
      <c r="AT18" s="346"/>
      <c r="AU18" s="346"/>
      <c r="AV18" s="346"/>
      <c r="BF18" s="5"/>
      <c r="BG18" s="5"/>
      <c r="BH18" s="5"/>
      <c r="BI18" s="5"/>
      <c r="BJ18" s="5"/>
      <c r="BK18" s="5"/>
      <c r="BL18" s="5"/>
      <c r="BM18" s="5"/>
      <c r="BN18" s="5"/>
      <c r="BR18" s="346"/>
      <c r="BS18" s="346"/>
      <c r="CC18" s="382"/>
      <c r="CD18" s="290"/>
      <c r="CE18" s="290"/>
      <c r="CF18" s="290"/>
      <c r="CG18" s="290"/>
      <c r="CH18" s="290"/>
      <c r="CI18" s="290"/>
      <c r="CJ18" s="290"/>
      <c r="CK18" s="290"/>
      <c r="CL18" s="290"/>
      <c r="CM18" s="290"/>
      <c r="CN18" s="355"/>
      <c r="CO18" s="355"/>
      <c r="CP18" s="355"/>
      <c r="CQ18" s="355"/>
      <c r="CR18" s="355"/>
      <c r="CS18" s="355"/>
      <c r="CT18" s="355"/>
      <c r="CU18" s="383" t="str">
        <f t="shared" si="2"/>
        <v/>
      </c>
      <c r="CV18" s="383" t="str">
        <f t="shared" ref="CV18:CV19" si="18">IF(AND(E18&gt;0,OR(AI18=""))," * No olvide digitar la variable Pueblos Originarios Mujeres (Digite Cero si no tiene).",IF(AI18&gt;E18," * La variable Pueblos Originarios Mujeres no puede ser Mayor al Total Mujeres.",""))</f>
        <v/>
      </c>
      <c r="CW18" s="383" t="str">
        <f t="shared" ref="CW18:CW19" si="19">IF(AND(D18&gt;0,OR(AJ18=""))," * No olvide digitar la variable Migrantes Hombres (Digite Cero si no tiene).",IF(AJ18&gt;D18," * La variable Migrantes Hombres no puede ser Mayor al Total.",""))</f>
        <v/>
      </c>
      <c r="CX18" s="383" t="str">
        <f t="shared" ref="CX18:CX19" si="20">IF(AND(E18&gt;0,OR(AK18=""))," * No olvide digitar la variable Migrantes Mujeres (Digite Cero si no tiene).",IF(AK18&gt;E18," * La variable Migrantes Mujeres no puede ser Mayor al Total.",""))</f>
        <v/>
      </c>
      <c r="CY18" s="355"/>
      <c r="CZ18" s="355"/>
      <c r="DA18" s="355"/>
      <c r="DB18" s="355"/>
      <c r="DC18" s="355"/>
      <c r="DD18" s="142"/>
      <c r="DE18" s="142"/>
      <c r="DF18" s="142"/>
      <c r="DG18" s="142"/>
      <c r="DH18" s="142"/>
      <c r="DI18" s="142"/>
      <c r="DJ18" s="142"/>
      <c r="DK18" s="142"/>
      <c r="DL18" s="142"/>
      <c r="DM18" s="142"/>
      <c r="DN18" s="142"/>
      <c r="DO18" s="142"/>
      <c r="DP18" s="142"/>
      <c r="DQ18" s="385">
        <f t="shared" ref="DQ18:DR19" si="21">IF(AND(D18&gt;0,OR(AH18="")),1,IF(AH18&gt;D18,1,0))</f>
        <v>0</v>
      </c>
      <c r="DR18" s="385">
        <f t="shared" si="21"/>
        <v>0</v>
      </c>
      <c r="DS18" s="385">
        <f t="shared" ref="DS18:DT19" si="22">IF(AND(D18&gt;0,OR(AJ18="")),1,IF(AJ18&gt;D18,1,0))</f>
        <v>0</v>
      </c>
      <c r="DT18" s="385">
        <f t="shared" si="22"/>
        <v>0</v>
      </c>
      <c r="DU18" s="142"/>
      <c r="DV18" s="142"/>
    </row>
    <row r="19" spans="1:126" ht="21.75" customHeight="1">
      <c r="A19" s="1873"/>
      <c r="B19" s="399" t="s">
        <v>183</v>
      </c>
      <c r="C19" s="400">
        <f t="shared" si="0"/>
        <v>0</v>
      </c>
      <c r="D19" s="367">
        <f t="shared" si="1"/>
        <v>0</v>
      </c>
      <c r="E19" s="368">
        <f t="shared" si="1"/>
        <v>0</v>
      </c>
      <c r="F19" s="401"/>
      <c r="G19" s="402"/>
      <c r="H19" s="401"/>
      <c r="I19" s="405"/>
      <c r="J19" s="401"/>
      <c r="K19" s="405"/>
      <c r="L19" s="401"/>
      <c r="M19" s="404"/>
      <c r="N19" s="401"/>
      <c r="O19" s="403"/>
      <c r="P19" s="401"/>
      <c r="Q19" s="403"/>
      <c r="R19" s="405"/>
      <c r="S19" s="405"/>
      <c r="T19" s="401"/>
      <c r="U19" s="406"/>
      <c r="V19" s="401"/>
      <c r="W19" s="403"/>
      <c r="X19" s="401"/>
      <c r="Y19" s="403"/>
      <c r="Z19" s="401"/>
      <c r="AA19" s="403"/>
      <c r="AB19" s="405"/>
      <c r="AC19" s="406"/>
      <c r="AD19" s="407"/>
      <c r="AE19" s="403"/>
      <c r="AF19" s="401"/>
      <c r="AG19" s="403"/>
      <c r="AH19" s="408"/>
      <c r="AI19" s="409"/>
      <c r="AJ19" s="405"/>
      <c r="AK19" s="403"/>
      <c r="AL19" s="381" t="str">
        <f>($CU19&amp;CV19&amp;CW19&amp;CX19)</f>
        <v/>
      </c>
      <c r="AM19" s="346"/>
      <c r="AN19" s="346"/>
      <c r="AO19" s="346"/>
      <c r="AP19" s="346"/>
      <c r="AQ19" s="346"/>
      <c r="AR19" s="346"/>
      <c r="AS19" s="346"/>
      <c r="AT19" s="346"/>
      <c r="AU19" s="346"/>
      <c r="AV19" s="346"/>
      <c r="BF19" s="5"/>
      <c r="BG19" s="5"/>
      <c r="BH19" s="5"/>
      <c r="BI19" s="5"/>
      <c r="BJ19" s="5"/>
      <c r="BK19" s="5"/>
      <c r="BL19" s="5"/>
      <c r="BM19" s="5"/>
      <c r="BN19" s="5"/>
      <c r="BR19" s="346"/>
      <c r="BS19" s="346"/>
      <c r="CC19" s="382"/>
      <c r="CD19" s="382"/>
      <c r="CE19" s="382"/>
      <c r="CF19" s="382"/>
      <c r="CG19" s="382"/>
      <c r="CH19" s="382"/>
      <c r="CI19" s="382"/>
      <c r="CJ19" s="382"/>
      <c r="CK19" s="290"/>
      <c r="CL19" s="290"/>
      <c r="CM19" s="290"/>
      <c r="CN19" s="355"/>
      <c r="CO19" s="355"/>
      <c r="CP19" s="355"/>
      <c r="CQ19" s="355"/>
      <c r="CR19" s="355"/>
      <c r="CS19" s="355"/>
      <c r="CT19" s="355"/>
      <c r="CU19" s="383" t="str">
        <f t="shared" si="2"/>
        <v/>
      </c>
      <c r="CV19" s="383" t="str">
        <f t="shared" si="18"/>
        <v/>
      </c>
      <c r="CW19" s="383" t="str">
        <f t="shared" si="19"/>
        <v/>
      </c>
      <c r="CX19" s="383" t="str">
        <f t="shared" si="20"/>
        <v/>
      </c>
      <c r="CY19" s="355"/>
      <c r="CZ19" s="355"/>
      <c r="DA19" s="355"/>
      <c r="DB19" s="355"/>
      <c r="DC19" s="355"/>
      <c r="DD19" s="142"/>
      <c r="DE19" s="142"/>
      <c r="DF19" s="142"/>
      <c r="DG19" s="142"/>
      <c r="DH19" s="142"/>
      <c r="DI19" s="142"/>
      <c r="DJ19" s="142"/>
      <c r="DK19" s="142"/>
      <c r="DL19" s="142"/>
      <c r="DM19" s="142"/>
      <c r="DN19" s="142"/>
      <c r="DO19" s="142"/>
      <c r="DP19" s="142"/>
      <c r="DQ19" s="385">
        <f t="shared" si="21"/>
        <v>0</v>
      </c>
      <c r="DR19" s="385">
        <f t="shared" si="21"/>
        <v>0</v>
      </c>
      <c r="DS19" s="385">
        <f t="shared" si="22"/>
        <v>0</v>
      </c>
      <c r="DT19" s="385">
        <f t="shared" si="22"/>
        <v>0</v>
      </c>
      <c r="DU19" s="142"/>
      <c r="DV19" s="142"/>
    </row>
    <row r="20" spans="1:126" ht="21.75" customHeight="1">
      <c r="A20" s="1873"/>
      <c r="B20" s="410" t="s">
        <v>5</v>
      </c>
      <c r="C20" s="411">
        <f t="shared" si="0"/>
        <v>0</v>
      </c>
      <c r="D20" s="367">
        <f t="shared" si="1"/>
        <v>0</v>
      </c>
      <c r="E20" s="368">
        <f t="shared" si="1"/>
        <v>0</v>
      </c>
      <c r="F20" s="412">
        <f>SUM(F18:F19)</f>
        <v>0</v>
      </c>
      <c r="G20" s="413">
        <f t="shared" ref="G20" si="23">SUM(G18:G19)</f>
        <v>0</v>
      </c>
      <c r="H20" s="412">
        <f>+SUM(H18:H19)</f>
        <v>0</v>
      </c>
      <c r="I20" s="414">
        <f>+SUM(I18:I19)</f>
        <v>0</v>
      </c>
      <c r="J20" s="412">
        <f t="shared" ref="J20:AK20" si="24">+SUM(J18:J19)</f>
        <v>0</v>
      </c>
      <c r="K20" s="414">
        <f t="shared" si="24"/>
        <v>0</v>
      </c>
      <c r="L20" s="412">
        <f t="shared" si="24"/>
        <v>0</v>
      </c>
      <c r="M20" s="415">
        <f t="shared" si="24"/>
        <v>0</v>
      </c>
      <c r="N20" s="412">
        <f t="shared" si="24"/>
        <v>0</v>
      </c>
      <c r="O20" s="414">
        <f t="shared" si="24"/>
        <v>0</v>
      </c>
      <c r="P20" s="412">
        <f t="shared" si="24"/>
        <v>0</v>
      </c>
      <c r="Q20" s="414">
        <f t="shared" si="24"/>
        <v>0</v>
      </c>
      <c r="R20" s="413">
        <f t="shared" si="24"/>
        <v>0</v>
      </c>
      <c r="S20" s="414">
        <f t="shared" si="24"/>
        <v>0</v>
      </c>
      <c r="T20" s="412">
        <f t="shared" si="24"/>
        <v>0</v>
      </c>
      <c r="U20" s="415">
        <f t="shared" si="24"/>
        <v>0</v>
      </c>
      <c r="V20" s="412">
        <f t="shared" si="24"/>
        <v>0</v>
      </c>
      <c r="W20" s="414">
        <f t="shared" si="24"/>
        <v>0</v>
      </c>
      <c r="X20" s="412">
        <f t="shared" si="24"/>
        <v>0</v>
      </c>
      <c r="Y20" s="414">
        <f t="shared" si="24"/>
        <v>0</v>
      </c>
      <c r="Z20" s="412">
        <f t="shared" si="24"/>
        <v>0</v>
      </c>
      <c r="AA20" s="414">
        <f t="shared" si="24"/>
        <v>0</v>
      </c>
      <c r="AB20" s="413">
        <f t="shared" si="24"/>
        <v>0</v>
      </c>
      <c r="AC20" s="415">
        <f t="shared" si="24"/>
        <v>0</v>
      </c>
      <c r="AD20" s="416">
        <f t="shared" si="24"/>
        <v>0</v>
      </c>
      <c r="AE20" s="414">
        <f t="shared" si="24"/>
        <v>0</v>
      </c>
      <c r="AF20" s="412">
        <f t="shared" si="24"/>
        <v>0</v>
      </c>
      <c r="AG20" s="414">
        <f t="shared" si="24"/>
        <v>0</v>
      </c>
      <c r="AH20" s="417">
        <f t="shared" si="24"/>
        <v>0</v>
      </c>
      <c r="AI20" s="418">
        <f t="shared" si="24"/>
        <v>0</v>
      </c>
      <c r="AJ20" s="413">
        <f t="shared" si="24"/>
        <v>0</v>
      </c>
      <c r="AK20" s="414">
        <f t="shared" si="24"/>
        <v>0</v>
      </c>
      <c r="AL20" s="381" t="str">
        <f>($CD20&amp;CE20)</f>
        <v/>
      </c>
      <c r="AM20" s="346"/>
      <c r="AN20" s="346"/>
      <c r="AO20" s="346"/>
      <c r="AP20" s="346"/>
      <c r="AQ20" s="346"/>
      <c r="AR20" s="346"/>
      <c r="AS20" s="346"/>
      <c r="AT20" s="346"/>
      <c r="AU20" s="346"/>
      <c r="AV20" s="346"/>
      <c r="BF20" s="5"/>
      <c r="BG20" s="5"/>
      <c r="BH20" s="5"/>
      <c r="BI20" s="5"/>
      <c r="BJ20" s="5"/>
      <c r="BK20" s="5"/>
      <c r="BL20" s="5"/>
      <c r="BM20" s="5"/>
      <c r="BN20" s="5"/>
      <c r="BR20" s="346"/>
      <c r="BS20" s="346"/>
      <c r="CC20" s="382"/>
      <c r="CD20" s="290"/>
      <c r="CE20" s="290"/>
      <c r="CF20" s="290"/>
      <c r="CG20" s="290"/>
      <c r="CH20" s="290"/>
      <c r="CI20" s="290"/>
      <c r="CJ20" s="290"/>
      <c r="CK20" s="290"/>
      <c r="CL20" s="290"/>
      <c r="CM20" s="290"/>
      <c r="CN20" s="355"/>
      <c r="CO20" s="355"/>
      <c r="CP20" s="355"/>
      <c r="CQ20" s="355"/>
      <c r="CR20" s="355"/>
      <c r="CS20" s="355"/>
      <c r="CT20" s="355"/>
      <c r="CU20" s="355"/>
      <c r="CV20" s="355"/>
      <c r="CW20" s="355"/>
      <c r="CX20" s="355"/>
      <c r="CY20" s="355"/>
      <c r="CZ20" s="355"/>
      <c r="DA20" s="355"/>
      <c r="DB20" s="355"/>
      <c r="DC20" s="355"/>
      <c r="DD20" s="142"/>
      <c r="DE20" s="142"/>
      <c r="DF20" s="142"/>
      <c r="DG20" s="142"/>
      <c r="DH20" s="142"/>
      <c r="DI20" s="142"/>
      <c r="DJ20" s="142"/>
      <c r="DK20" s="142"/>
      <c r="DL20" s="142"/>
      <c r="DM20" s="142"/>
      <c r="DN20" s="142"/>
      <c r="DO20" s="142"/>
      <c r="DP20" s="142"/>
      <c r="DQ20" s="142"/>
      <c r="DR20" s="142"/>
      <c r="DS20" s="142"/>
      <c r="DT20" s="142"/>
      <c r="DU20" s="142"/>
      <c r="DV20" s="142"/>
    </row>
    <row r="21" spans="1:126" ht="21.75" customHeight="1">
      <c r="A21" s="1873"/>
      <c r="B21" s="419" t="s">
        <v>184</v>
      </c>
      <c r="C21" s="421">
        <f t="shared" si="0"/>
        <v>0</v>
      </c>
      <c r="D21" s="388">
        <f t="shared" si="1"/>
        <v>0</v>
      </c>
      <c r="E21" s="389">
        <f t="shared" si="1"/>
        <v>0</v>
      </c>
      <c r="F21" s="390"/>
      <c r="G21" s="391"/>
      <c r="H21" s="390"/>
      <c r="I21" s="394"/>
      <c r="J21" s="390"/>
      <c r="K21" s="394"/>
      <c r="L21" s="390"/>
      <c r="M21" s="393"/>
      <c r="N21" s="390"/>
      <c r="O21" s="392"/>
      <c r="P21" s="390"/>
      <c r="Q21" s="392"/>
      <c r="R21" s="394"/>
      <c r="S21" s="394"/>
      <c r="T21" s="390"/>
      <c r="U21" s="395"/>
      <c r="V21" s="390"/>
      <c r="W21" s="392"/>
      <c r="X21" s="390"/>
      <c r="Y21" s="392"/>
      <c r="Z21" s="390"/>
      <c r="AA21" s="392"/>
      <c r="AB21" s="394"/>
      <c r="AC21" s="395"/>
      <c r="AD21" s="396"/>
      <c r="AE21" s="392"/>
      <c r="AF21" s="390"/>
      <c r="AG21" s="392"/>
      <c r="AH21" s="397"/>
      <c r="AI21" s="398"/>
      <c r="AJ21" s="394"/>
      <c r="AK21" s="392"/>
      <c r="AL21" s="381" t="str">
        <f>($CU21&amp;CV21&amp;CW21&amp;CX21)</f>
        <v/>
      </c>
      <c r="AM21" s="346"/>
      <c r="AN21" s="346"/>
      <c r="AO21" s="346"/>
      <c r="AP21" s="346"/>
      <c r="AQ21" s="346"/>
      <c r="AR21" s="346"/>
      <c r="AS21" s="346"/>
      <c r="AT21" s="346"/>
      <c r="AU21" s="346"/>
      <c r="AV21" s="346"/>
      <c r="BF21" s="5"/>
      <c r="BG21" s="5"/>
      <c r="BH21" s="5"/>
      <c r="BI21" s="5"/>
      <c r="BJ21" s="5"/>
      <c r="BK21" s="5"/>
      <c r="BL21" s="5"/>
      <c r="BM21" s="5"/>
      <c r="BN21" s="5"/>
      <c r="BR21" s="346"/>
      <c r="BS21" s="346"/>
      <c r="CC21" s="382"/>
      <c r="CD21" s="290"/>
      <c r="CE21" s="290"/>
      <c r="CF21" s="290"/>
      <c r="CG21" s="290"/>
      <c r="CH21" s="290"/>
      <c r="CI21" s="290"/>
      <c r="CJ21" s="290"/>
      <c r="CK21" s="290"/>
      <c r="CL21" s="290"/>
      <c r="CM21" s="290"/>
      <c r="CN21" s="355"/>
      <c r="CO21" s="355"/>
      <c r="CP21" s="355"/>
      <c r="CQ21" s="355"/>
      <c r="CR21" s="355"/>
      <c r="CS21" s="355"/>
      <c r="CT21" s="355"/>
      <c r="CU21" s="383" t="str">
        <f t="shared" si="2"/>
        <v/>
      </c>
      <c r="CV21" s="383" t="str">
        <f t="shared" ref="CV21:CV22" si="25">IF(AND(E21&gt;0,OR(AI21=""))," * No olvide digitar la variable Pueblos Originarios Mujeres (Digite Cero si no tiene).",IF(AI21&gt;E21," * La variable Pueblos Originarios Mujeres no puede ser Mayor al Total Mujeres.",""))</f>
        <v/>
      </c>
      <c r="CW21" s="383" t="str">
        <f t="shared" ref="CW21:CW22" si="26">IF(AND(D21&gt;0,OR(AJ21=""))," * No olvide digitar la variable Migrantes Hombres (Digite Cero si no tiene).",IF(AJ21&gt;D21," * La variable Migrantes Hombres no puede ser Mayor al Total.",""))</f>
        <v/>
      </c>
      <c r="CX21" s="383" t="str">
        <f t="shared" ref="CX21:CX22" si="27">IF(AND(E21&gt;0,OR(AK21=""))," * No olvide digitar la variable Migrantes Mujeres (Digite Cero si no tiene).",IF(AK21&gt;E21," * La variable Migrantes Mujeres no puede ser Mayor al Total.",""))</f>
        <v/>
      </c>
      <c r="CY21" s="355"/>
      <c r="CZ21" s="355"/>
      <c r="DA21" s="355"/>
      <c r="DB21" s="355"/>
      <c r="DC21" s="355"/>
      <c r="DD21" s="142"/>
      <c r="DE21" s="142"/>
      <c r="DF21" s="142"/>
      <c r="DG21" s="142"/>
      <c r="DH21" s="142"/>
      <c r="DI21" s="142"/>
      <c r="DJ21" s="142"/>
      <c r="DK21" s="142"/>
      <c r="DL21" s="142"/>
      <c r="DM21" s="142"/>
      <c r="DN21" s="142"/>
      <c r="DO21" s="142"/>
      <c r="DP21" s="142"/>
      <c r="DQ21" s="385">
        <f t="shared" ref="DQ21:DR22" si="28">IF(AND(D21&gt;0,OR(AH21="")),1,IF(AH21&gt;D21,1,0))</f>
        <v>0</v>
      </c>
      <c r="DR21" s="385">
        <f t="shared" si="28"/>
        <v>0</v>
      </c>
      <c r="DS21" s="385">
        <f t="shared" ref="DS21:DT22" si="29">IF(AND(D21&gt;0,OR(AJ21="")),1,IF(AJ21&gt;D21,1,0))</f>
        <v>0</v>
      </c>
      <c r="DT21" s="385">
        <f t="shared" si="29"/>
        <v>0</v>
      </c>
      <c r="DU21" s="142"/>
      <c r="DV21" s="142"/>
    </row>
    <row r="22" spans="1:126" ht="21.75" customHeight="1">
      <c r="A22" s="1873"/>
      <c r="B22" s="399" t="s">
        <v>185</v>
      </c>
      <c r="C22" s="400">
        <f t="shared" si="0"/>
        <v>0</v>
      </c>
      <c r="D22" s="367">
        <f t="shared" si="1"/>
        <v>0</v>
      </c>
      <c r="E22" s="368">
        <f t="shared" si="1"/>
        <v>0</v>
      </c>
      <c r="F22" s="401"/>
      <c r="G22" s="402"/>
      <c r="H22" s="401"/>
      <c r="I22" s="405"/>
      <c r="J22" s="401"/>
      <c r="K22" s="405"/>
      <c r="L22" s="401"/>
      <c r="M22" s="404"/>
      <c r="N22" s="401"/>
      <c r="O22" s="403"/>
      <c r="P22" s="401"/>
      <c r="Q22" s="403"/>
      <c r="R22" s="405"/>
      <c r="S22" s="405"/>
      <c r="T22" s="401"/>
      <c r="U22" s="406"/>
      <c r="V22" s="401"/>
      <c r="W22" s="403"/>
      <c r="X22" s="401"/>
      <c r="Y22" s="403"/>
      <c r="Z22" s="401"/>
      <c r="AA22" s="403"/>
      <c r="AB22" s="405"/>
      <c r="AC22" s="406"/>
      <c r="AD22" s="407"/>
      <c r="AE22" s="403"/>
      <c r="AF22" s="401"/>
      <c r="AG22" s="403"/>
      <c r="AH22" s="408"/>
      <c r="AI22" s="409"/>
      <c r="AJ22" s="405"/>
      <c r="AK22" s="403"/>
      <c r="AL22" s="381" t="str">
        <f>($CU22&amp;CV22&amp;CW22&amp;CX22)</f>
        <v/>
      </c>
      <c r="AM22" s="346"/>
      <c r="AN22" s="346"/>
      <c r="AO22" s="346"/>
      <c r="AP22" s="346"/>
      <c r="AQ22" s="346"/>
      <c r="AR22" s="346"/>
      <c r="AS22" s="346"/>
      <c r="AT22" s="346"/>
      <c r="AU22" s="346"/>
      <c r="AV22" s="346"/>
      <c r="BF22" s="5"/>
      <c r="BG22" s="5"/>
      <c r="BH22" s="5"/>
      <c r="BI22" s="5"/>
      <c r="BJ22" s="5"/>
      <c r="BK22" s="5"/>
      <c r="BL22" s="5"/>
      <c r="BM22" s="5"/>
      <c r="BN22" s="5"/>
      <c r="BR22" s="346"/>
      <c r="BS22" s="346"/>
      <c r="CC22" s="382"/>
      <c r="CD22" s="382"/>
      <c r="CE22" s="382"/>
      <c r="CF22" s="382"/>
      <c r="CG22" s="382"/>
      <c r="CH22" s="382"/>
      <c r="CI22" s="382"/>
      <c r="CJ22" s="382"/>
      <c r="CK22" s="290"/>
      <c r="CL22" s="290"/>
      <c r="CM22" s="290"/>
      <c r="CN22" s="355"/>
      <c r="CO22" s="355"/>
      <c r="CP22" s="355"/>
      <c r="CQ22" s="355"/>
      <c r="CR22" s="355"/>
      <c r="CS22" s="355"/>
      <c r="CT22" s="355"/>
      <c r="CU22" s="383" t="str">
        <f t="shared" si="2"/>
        <v/>
      </c>
      <c r="CV22" s="383" t="str">
        <f t="shared" si="25"/>
        <v/>
      </c>
      <c r="CW22" s="383" t="str">
        <f t="shared" si="26"/>
        <v/>
      </c>
      <c r="CX22" s="383" t="str">
        <f t="shared" si="27"/>
        <v/>
      </c>
      <c r="CY22" s="355"/>
      <c r="CZ22" s="355"/>
      <c r="DA22" s="355"/>
      <c r="DB22" s="355"/>
      <c r="DC22" s="355"/>
      <c r="DD22" s="142"/>
      <c r="DE22" s="142"/>
      <c r="DF22" s="142"/>
      <c r="DG22" s="142"/>
      <c r="DH22" s="142"/>
      <c r="DI22" s="142"/>
      <c r="DJ22" s="142"/>
      <c r="DK22" s="142"/>
      <c r="DL22" s="142"/>
      <c r="DM22" s="142"/>
      <c r="DN22" s="142"/>
      <c r="DO22" s="142"/>
      <c r="DP22" s="142"/>
      <c r="DQ22" s="385">
        <f t="shared" si="28"/>
        <v>0</v>
      </c>
      <c r="DR22" s="385">
        <f t="shared" si="28"/>
        <v>0</v>
      </c>
      <c r="DS22" s="385">
        <f t="shared" si="29"/>
        <v>0</v>
      </c>
      <c r="DT22" s="385">
        <f t="shared" si="29"/>
        <v>0</v>
      </c>
      <c r="DU22" s="142"/>
      <c r="DV22" s="142"/>
    </row>
    <row r="23" spans="1:126" ht="21.75" customHeight="1">
      <c r="A23" s="1874"/>
      <c r="B23" s="410" t="s">
        <v>5</v>
      </c>
      <c r="C23" s="411">
        <f t="shared" si="0"/>
        <v>0</v>
      </c>
      <c r="D23" s="367">
        <f t="shared" si="1"/>
        <v>0</v>
      </c>
      <c r="E23" s="368">
        <f t="shared" si="1"/>
        <v>0</v>
      </c>
      <c r="F23" s="412">
        <f t="shared" ref="F23:G23" si="30">SUM(F21:F22)</f>
        <v>0</v>
      </c>
      <c r="G23" s="413">
        <f t="shared" si="30"/>
        <v>0</v>
      </c>
      <c r="H23" s="412">
        <f>SUM(H21:H22)</f>
        <v>0</v>
      </c>
      <c r="I23" s="414">
        <f>SUM(I21:I22)</f>
        <v>0</v>
      </c>
      <c r="J23" s="412">
        <f t="shared" ref="J23:AJ23" si="31">SUM(J21:J22)</f>
        <v>0</v>
      </c>
      <c r="K23" s="414">
        <f t="shared" si="31"/>
        <v>0</v>
      </c>
      <c r="L23" s="412">
        <f t="shared" si="31"/>
        <v>0</v>
      </c>
      <c r="M23" s="415">
        <f t="shared" si="31"/>
        <v>0</v>
      </c>
      <c r="N23" s="412">
        <f t="shared" si="31"/>
        <v>0</v>
      </c>
      <c r="O23" s="414">
        <f t="shared" si="31"/>
        <v>0</v>
      </c>
      <c r="P23" s="412">
        <f t="shared" si="31"/>
        <v>0</v>
      </c>
      <c r="Q23" s="414">
        <f t="shared" si="31"/>
        <v>0</v>
      </c>
      <c r="R23" s="413">
        <f t="shared" si="31"/>
        <v>0</v>
      </c>
      <c r="S23" s="414">
        <f t="shared" si="31"/>
        <v>0</v>
      </c>
      <c r="T23" s="412">
        <f t="shared" si="31"/>
        <v>0</v>
      </c>
      <c r="U23" s="415">
        <f t="shared" si="31"/>
        <v>0</v>
      </c>
      <c r="V23" s="412">
        <f t="shared" si="31"/>
        <v>0</v>
      </c>
      <c r="W23" s="414">
        <f t="shared" si="31"/>
        <v>0</v>
      </c>
      <c r="X23" s="412">
        <f t="shared" si="31"/>
        <v>0</v>
      </c>
      <c r="Y23" s="414">
        <f t="shared" si="31"/>
        <v>0</v>
      </c>
      <c r="Z23" s="412">
        <f t="shared" si="31"/>
        <v>0</v>
      </c>
      <c r="AA23" s="414">
        <f t="shared" si="31"/>
        <v>0</v>
      </c>
      <c r="AB23" s="412">
        <f t="shared" si="31"/>
        <v>0</v>
      </c>
      <c r="AC23" s="422">
        <f t="shared" si="31"/>
        <v>0</v>
      </c>
      <c r="AD23" s="416">
        <f t="shared" si="31"/>
        <v>0</v>
      </c>
      <c r="AE23" s="414">
        <f t="shared" si="31"/>
        <v>0</v>
      </c>
      <c r="AF23" s="412">
        <f t="shared" si="31"/>
        <v>0</v>
      </c>
      <c r="AG23" s="414">
        <f t="shared" si="31"/>
        <v>0</v>
      </c>
      <c r="AH23" s="417">
        <f t="shared" si="31"/>
        <v>0</v>
      </c>
      <c r="AI23" s="418">
        <f t="shared" si="31"/>
        <v>0</v>
      </c>
      <c r="AJ23" s="413">
        <f t="shared" si="31"/>
        <v>0</v>
      </c>
      <c r="AK23" s="414">
        <f>SUM(AK21:AK22)</f>
        <v>0</v>
      </c>
      <c r="AL23" s="381" t="str">
        <f>($CD23&amp;CE23)</f>
        <v/>
      </c>
      <c r="AM23" s="346"/>
      <c r="AN23" s="346"/>
      <c r="AO23" s="346"/>
      <c r="AP23" s="346"/>
      <c r="AQ23" s="346"/>
      <c r="AR23" s="346"/>
      <c r="AS23" s="346"/>
      <c r="AT23" s="346"/>
      <c r="AU23" s="346"/>
      <c r="AV23" s="346"/>
      <c r="BF23" s="5"/>
      <c r="BG23" s="5"/>
      <c r="BH23" s="5"/>
      <c r="BI23" s="5"/>
      <c r="BJ23" s="5"/>
      <c r="BK23" s="5"/>
      <c r="BL23" s="5"/>
      <c r="BM23" s="5"/>
      <c r="BN23" s="5"/>
      <c r="BR23" s="346"/>
      <c r="BS23" s="346"/>
      <c r="CC23" s="382"/>
      <c r="CD23" s="290"/>
      <c r="CE23" s="290"/>
      <c r="CF23" s="290"/>
      <c r="CG23" s="290"/>
      <c r="CH23" s="290"/>
      <c r="CI23" s="290"/>
      <c r="CJ23" s="290"/>
      <c r="CK23" s="290"/>
      <c r="CL23" s="290"/>
      <c r="CM23" s="290"/>
      <c r="CN23" s="355"/>
      <c r="CO23" s="355"/>
      <c r="CP23" s="355"/>
      <c r="CQ23" s="355"/>
      <c r="CR23" s="355"/>
      <c r="CS23" s="355"/>
      <c r="CT23" s="355"/>
      <c r="CU23" s="355"/>
      <c r="CV23" s="355"/>
      <c r="CW23" s="355"/>
      <c r="CX23" s="355"/>
      <c r="CY23" s="355"/>
      <c r="CZ23" s="355"/>
      <c r="DA23" s="355"/>
      <c r="DB23" s="355"/>
      <c r="DC23" s="355"/>
      <c r="DD23" s="142"/>
      <c r="DE23" s="142"/>
      <c r="DF23" s="142"/>
      <c r="DG23" s="142"/>
      <c r="DH23" s="142"/>
      <c r="DI23" s="142"/>
      <c r="DJ23" s="142"/>
      <c r="DK23" s="142"/>
      <c r="DL23" s="142"/>
      <c r="DM23" s="142"/>
      <c r="DN23" s="142"/>
      <c r="DO23" s="142"/>
      <c r="DP23" s="142"/>
      <c r="DQ23" s="142"/>
      <c r="DR23" s="142"/>
      <c r="DS23" s="142"/>
      <c r="DT23" s="142"/>
      <c r="DU23" s="142"/>
      <c r="DV23" s="142"/>
    </row>
    <row r="24" spans="1:126" ht="21.75" customHeight="1">
      <c r="A24" s="1870" t="s">
        <v>187</v>
      </c>
      <c r="B24" s="386" t="s">
        <v>182</v>
      </c>
      <c r="C24" s="423">
        <f t="shared" si="0"/>
        <v>0</v>
      </c>
      <c r="D24" s="388">
        <f t="shared" si="1"/>
        <v>0</v>
      </c>
      <c r="E24" s="389">
        <f t="shared" si="1"/>
        <v>0</v>
      </c>
      <c r="F24" s="390"/>
      <c r="G24" s="391"/>
      <c r="H24" s="390"/>
      <c r="I24" s="394"/>
      <c r="J24" s="390"/>
      <c r="K24" s="394"/>
      <c r="L24" s="390"/>
      <c r="M24" s="393"/>
      <c r="N24" s="390"/>
      <c r="O24" s="392"/>
      <c r="P24" s="390"/>
      <c r="Q24" s="392"/>
      <c r="R24" s="394"/>
      <c r="S24" s="394"/>
      <c r="T24" s="390"/>
      <c r="U24" s="395"/>
      <c r="V24" s="390"/>
      <c r="W24" s="392"/>
      <c r="X24" s="390"/>
      <c r="Y24" s="392"/>
      <c r="Z24" s="390"/>
      <c r="AA24" s="392"/>
      <c r="AB24" s="394"/>
      <c r="AC24" s="395"/>
      <c r="AD24" s="396"/>
      <c r="AE24" s="392"/>
      <c r="AF24" s="390"/>
      <c r="AG24" s="392"/>
      <c r="AH24" s="397"/>
      <c r="AI24" s="398"/>
      <c r="AJ24" s="394"/>
      <c r="AK24" s="392"/>
      <c r="AL24" s="381" t="str">
        <f>($CU24&amp;CV24&amp;CW24&amp;CX24)</f>
        <v/>
      </c>
      <c r="AM24" s="346"/>
      <c r="AN24" s="346"/>
      <c r="AO24" s="346"/>
      <c r="AP24" s="346"/>
      <c r="AQ24" s="346"/>
      <c r="AR24" s="346"/>
      <c r="AS24" s="346"/>
      <c r="AT24" s="346"/>
      <c r="AU24" s="346"/>
      <c r="AV24" s="346"/>
      <c r="BF24" s="5"/>
      <c r="BG24" s="5"/>
      <c r="BH24" s="5"/>
      <c r="BI24" s="5"/>
      <c r="BJ24" s="5"/>
      <c r="BK24" s="5"/>
      <c r="BL24" s="5"/>
      <c r="BM24" s="5"/>
      <c r="BN24" s="5"/>
      <c r="BR24" s="346"/>
      <c r="BS24" s="346"/>
      <c r="CC24" s="382"/>
      <c r="CD24" s="290"/>
      <c r="CE24" s="290"/>
      <c r="CF24" s="290"/>
      <c r="CG24" s="290"/>
      <c r="CH24" s="290"/>
      <c r="CI24" s="290"/>
      <c r="CJ24" s="290"/>
      <c r="CK24" s="290"/>
      <c r="CL24" s="290"/>
      <c r="CM24" s="290"/>
      <c r="CN24" s="355"/>
      <c r="CO24" s="355"/>
      <c r="CP24" s="355"/>
      <c r="CQ24" s="355"/>
      <c r="CR24" s="355"/>
      <c r="CS24" s="355"/>
      <c r="CT24" s="355"/>
      <c r="CU24" s="383" t="str">
        <f t="shared" si="2"/>
        <v/>
      </c>
      <c r="CV24" s="383" t="str">
        <f t="shared" ref="CV24:CV25" si="32">IF(AND(E24&gt;0,OR(AI24=""))," * No olvide digitar la variable Pueblos Originarios Mujeres (Digite Cero si no tiene).",IF(AI24&gt;E24," * La variable Pueblos Originarios Mujeres no puede ser Mayor al Total Mujeres.",""))</f>
        <v/>
      </c>
      <c r="CW24" s="383" t="str">
        <f t="shared" ref="CW24:CW25" si="33">IF(AND(D24&gt;0,OR(AJ24=""))," * No olvide digitar la variable Migrantes Hombres (Digite Cero si no tiene).",IF(AJ24&gt;D24," * La variable Migrantes Hombres no puede ser Mayor al Total.",""))</f>
        <v/>
      </c>
      <c r="CX24" s="383" t="str">
        <f t="shared" ref="CX24:CX25" si="34">IF(AND(E24&gt;0,OR(AK24=""))," * No olvide digitar la variable Migrantes Mujeres (Digite Cero si no tiene).",IF(AK24&gt;E24," * La variable Migrantes Mujeres no puede ser Mayor al Total.",""))</f>
        <v/>
      </c>
      <c r="CY24" s="355"/>
      <c r="CZ24" s="355"/>
      <c r="DA24" s="355"/>
      <c r="DB24" s="355"/>
      <c r="DC24" s="355"/>
      <c r="DD24" s="142"/>
      <c r="DE24" s="142"/>
      <c r="DF24" s="142"/>
      <c r="DG24" s="142"/>
      <c r="DH24" s="142"/>
      <c r="DI24" s="142"/>
      <c r="DJ24" s="142"/>
      <c r="DK24" s="142"/>
      <c r="DL24" s="142"/>
      <c r="DM24" s="142"/>
      <c r="DN24" s="142"/>
      <c r="DO24" s="142"/>
      <c r="DP24" s="142"/>
      <c r="DQ24" s="385">
        <f t="shared" ref="DQ24:DR25" si="35">IF(AND(D24&gt;0,OR(AH24="")),1,IF(AH24&gt;D24,1,0))</f>
        <v>0</v>
      </c>
      <c r="DR24" s="385">
        <f t="shared" si="35"/>
        <v>0</v>
      </c>
      <c r="DS24" s="385">
        <f t="shared" ref="DS24:DT25" si="36">IF(AND(D24&gt;0,OR(AJ24="")),1,IF(AJ24&gt;D24,1,0))</f>
        <v>0</v>
      </c>
      <c r="DT24" s="385">
        <f t="shared" si="36"/>
        <v>0</v>
      </c>
      <c r="DU24" s="142"/>
      <c r="DV24" s="142"/>
    </row>
    <row r="25" spans="1:126" ht="21.75" customHeight="1">
      <c r="A25" s="1870"/>
      <c r="B25" s="399" t="s">
        <v>183</v>
      </c>
      <c r="C25" s="424">
        <f t="shared" si="0"/>
        <v>0</v>
      </c>
      <c r="D25" s="367">
        <f t="shared" si="1"/>
        <v>0</v>
      </c>
      <c r="E25" s="368">
        <f t="shared" si="1"/>
        <v>0</v>
      </c>
      <c r="F25" s="401"/>
      <c r="G25" s="402"/>
      <c r="H25" s="401"/>
      <c r="I25" s="405"/>
      <c r="J25" s="401"/>
      <c r="K25" s="405"/>
      <c r="L25" s="401"/>
      <c r="M25" s="404"/>
      <c r="N25" s="401"/>
      <c r="O25" s="403"/>
      <c r="P25" s="401"/>
      <c r="Q25" s="403"/>
      <c r="R25" s="405"/>
      <c r="S25" s="405"/>
      <c r="T25" s="401"/>
      <c r="U25" s="406"/>
      <c r="V25" s="401"/>
      <c r="W25" s="403"/>
      <c r="X25" s="401"/>
      <c r="Y25" s="403"/>
      <c r="Z25" s="401"/>
      <c r="AA25" s="403"/>
      <c r="AB25" s="405"/>
      <c r="AC25" s="406"/>
      <c r="AD25" s="407"/>
      <c r="AE25" s="403"/>
      <c r="AF25" s="401"/>
      <c r="AG25" s="403"/>
      <c r="AH25" s="408"/>
      <c r="AI25" s="409"/>
      <c r="AJ25" s="405"/>
      <c r="AK25" s="403"/>
      <c r="AL25" s="381" t="str">
        <f>($CU25&amp;CV25&amp;CW25&amp;CX25)</f>
        <v/>
      </c>
      <c r="AM25" s="346"/>
      <c r="AN25" s="346"/>
      <c r="AO25" s="346"/>
      <c r="AP25" s="346"/>
      <c r="AQ25" s="346"/>
      <c r="AR25" s="346"/>
      <c r="AS25" s="346"/>
      <c r="AT25" s="346"/>
      <c r="AU25" s="346"/>
      <c r="AV25" s="346"/>
      <c r="BF25" s="5"/>
      <c r="BG25" s="5"/>
      <c r="BH25" s="5"/>
      <c r="BI25" s="5"/>
      <c r="BJ25" s="5"/>
      <c r="BK25" s="5"/>
      <c r="BL25" s="5"/>
      <c r="BM25" s="5"/>
      <c r="BN25" s="5"/>
      <c r="BR25" s="346"/>
      <c r="BS25" s="346"/>
      <c r="CC25" s="382"/>
      <c r="CD25" s="290"/>
      <c r="CE25" s="290"/>
      <c r="CF25" s="290"/>
      <c r="CG25" s="290"/>
      <c r="CH25" s="290"/>
      <c r="CI25" s="290"/>
      <c r="CJ25" s="290"/>
      <c r="CK25" s="290"/>
      <c r="CL25" s="290"/>
      <c r="CM25" s="290"/>
      <c r="CN25" s="355"/>
      <c r="CO25" s="355"/>
      <c r="CP25" s="355"/>
      <c r="CQ25" s="355"/>
      <c r="CR25" s="355"/>
      <c r="CS25" s="355"/>
      <c r="CT25" s="355"/>
      <c r="CU25" s="383" t="str">
        <f t="shared" si="2"/>
        <v/>
      </c>
      <c r="CV25" s="383" t="str">
        <f t="shared" si="32"/>
        <v/>
      </c>
      <c r="CW25" s="383" t="str">
        <f t="shared" si="33"/>
        <v/>
      </c>
      <c r="CX25" s="383" t="str">
        <f t="shared" si="34"/>
        <v/>
      </c>
      <c r="CY25" s="355"/>
      <c r="CZ25" s="355"/>
      <c r="DA25" s="355"/>
      <c r="DB25" s="355"/>
      <c r="DC25" s="355"/>
      <c r="DD25" s="142"/>
      <c r="DE25" s="142"/>
      <c r="DF25" s="142"/>
      <c r="DG25" s="142"/>
      <c r="DH25" s="142"/>
      <c r="DI25" s="142"/>
      <c r="DJ25" s="142"/>
      <c r="DK25" s="142"/>
      <c r="DL25" s="142"/>
      <c r="DM25" s="142"/>
      <c r="DN25" s="142"/>
      <c r="DO25" s="142"/>
      <c r="DP25" s="142"/>
      <c r="DQ25" s="385">
        <f t="shared" si="35"/>
        <v>0</v>
      </c>
      <c r="DR25" s="385">
        <f t="shared" si="35"/>
        <v>0</v>
      </c>
      <c r="DS25" s="385">
        <f t="shared" si="36"/>
        <v>0</v>
      </c>
      <c r="DT25" s="385">
        <f t="shared" si="36"/>
        <v>0</v>
      </c>
      <c r="DU25" s="142"/>
      <c r="DV25" s="142"/>
    </row>
    <row r="26" spans="1:126" ht="21.75" customHeight="1">
      <c r="A26" s="1870"/>
      <c r="B26" s="410" t="s">
        <v>5</v>
      </c>
      <c r="C26" s="416">
        <f t="shared" si="0"/>
        <v>0</v>
      </c>
      <c r="D26" s="367">
        <f t="shared" si="1"/>
        <v>0</v>
      </c>
      <c r="E26" s="368">
        <f t="shared" si="1"/>
        <v>0</v>
      </c>
      <c r="F26" s="412">
        <f t="shared" ref="F26:G26" si="37">SUM(F24:F25)</f>
        <v>0</v>
      </c>
      <c r="G26" s="413">
        <f t="shared" si="37"/>
        <v>0</v>
      </c>
      <c r="H26" s="425">
        <f>SUM(H24:H25)</f>
        <v>0</v>
      </c>
      <c r="I26" s="426">
        <f t="shared" ref="I26:AK26" si="38">SUM(I24:I25)</f>
        <v>0</v>
      </c>
      <c r="J26" s="425">
        <f t="shared" si="38"/>
        <v>0</v>
      </c>
      <c r="K26" s="426">
        <f t="shared" si="38"/>
        <v>0</v>
      </c>
      <c r="L26" s="425">
        <f t="shared" si="38"/>
        <v>0</v>
      </c>
      <c r="M26" s="427">
        <f t="shared" si="38"/>
        <v>0</v>
      </c>
      <c r="N26" s="425">
        <f t="shared" si="38"/>
        <v>0</v>
      </c>
      <c r="O26" s="428">
        <f t="shared" si="38"/>
        <v>0</v>
      </c>
      <c r="P26" s="425">
        <f t="shared" si="38"/>
        <v>0</v>
      </c>
      <c r="Q26" s="428">
        <f t="shared" si="38"/>
        <v>0</v>
      </c>
      <c r="R26" s="429">
        <f t="shared" si="38"/>
        <v>0</v>
      </c>
      <c r="S26" s="426">
        <f t="shared" si="38"/>
        <v>0</v>
      </c>
      <c r="T26" s="425">
        <f t="shared" si="38"/>
        <v>0</v>
      </c>
      <c r="U26" s="430">
        <f t="shared" si="38"/>
        <v>0</v>
      </c>
      <c r="V26" s="425">
        <f t="shared" si="38"/>
        <v>0</v>
      </c>
      <c r="W26" s="428">
        <f t="shared" si="38"/>
        <v>0</v>
      </c>
      <c r="X26" s="425">
        <f t="shared" si="38"/>
        <v>0</v>
      </c>
      <c r="Y26" s="428">
        <f t="shared" si="38"/>
        <v>0</v>
      </c>
      <c r="Z26" s="425">
        <f t="shared" si="38"/>
        <v>0</v>
      </c>
      <c r="AA26" s="428">
        <f t="shared" si="38"/>
        <v>0</v>
      </c>
      <c r="AB26" s="429">
        <f t="shared" si="38"/>
        <v>0</v>
      </c>
      <c r="AC26" s="430">
        <f t="shared" si="38"/>
        <v>0</v>
      </c>
      <c r="AD26" s="431">
        <f t="shared" si="38"/>
        <v>0</v>
      </c>
      <c r="AE26" s="428">
        <f t="shared" si="38"/>
        <v>0</v>
      </c>
      <c r="AF26" s="425">
        <f t="shared" si="38"/>
        <v>0</v>
      </c>
      <c r="AG26" s="428">
        <f t="shared" si="38"/>
        <v>0</v>
      </c>
      <c r="AH26" s="432">
        <f t="shared" si="38"/>
        <v>0</v>
      </c>
      <c r="AI26" s="433">
        <f t="shared" si="38"/>
        <v>0</v>
      </c>
      <c r="AJ26" s="429">
        <f t="shared" si="38"/>
        <v>0</v>
      </c>
      <c r="AK26" s="428">
        <f t="shared" si="38"/>
        <v>0</v>
      </c>
      <c r="AL26" s="381" t="str">
        <f>($CD26&amp;CE26)</f>
        <v/>
      </c>
      <c r="AM26" s="346"/>
      <c r="AN26" s="346"/>
      <c r="AO26" s="346"/>
      <c r="AP26" s="346"/>
      <c r="AQ26" s="346"/>
      <c r="AR26" s="346"/>
      <c r="AS26" s="346"/>
      <c r="AT26" s="346"/>
      <c r="AU26" s="346"/>
      <c r="AV26" s="346"/>
      <c r="BF26" s="5"/>
      <c r="BG26" s="5"/>
      <c r="BH26" s="5"/>
      <c r="BI26" s="5"/>
      <c r="BJ26" s="5"/>
      <c r="BK26" s="5"/>
      <c r="BL26" s="5"/>
      <c r="BM26" s="5"/>
      <c r="BN26" s="5"/>
      <c r="BR26" s="346"/>
      <c r="BS26" s="346"/>
      <c r="CC26" s="382"/>
      <c r="CD26" s="290"/>
      <c r="CE26" s="290"/>
      <c r="CF26" s="290"/>
      <c r="CG26" s="290"/>
      <c r="CH26" s="290"/>
      <c r="CI26" s="290"/>
      <c r="CJ26" s="290"/>
      <c r="CK26" s="290"/>
      <c r="CL26" s="290"/>
      <c r="CM26" s="290"/>
      <c r="CN26" s="355"/>
      <c r="CO26" s="355"/>
      <c r="CP26" s="355"/>
      <c r="CQ26" s="355"/>
      <c r="CR26" s="355"/>
      <c r="CS26" s="355"/>
      <c r="CT26" s="355"/>
      <c r="CU26" s="355"/>
      <c r="CV26" s="355"/>
      <c r="CW26" s="355"/>
      <c r="CX26" s="355"/>
      <c r="CY26" s="355"/>
      <c r="CZ26" s="355"/>
      <c r="DA26" s="355"/>
      <c r="DB26" s="355"/>
      <c r="DC26" s="355"/>
      <c r="DD26" s="142"/>
      <c r="DE26" s="142"/>
      <c r="DF26" s="142"/>
      <c r="DG26" s="142"/>
      <c r="DH26" s="142"/>
      <c r="DI26" s="142"/>
      <c r="DJ26" s="142"/>
      <c r="DK26" s="142"/>
      <c r="DL26" s="142"/>
      <c r="DM26" s="142"/>
      <c r="DN26" s="142"/>
      <c r="DO26" s="142"/>
      <c r="DP26" s="142"/>
      <c r="DQ26" s="142"/>
      <c r="DR26" s="142"/>
      <c r="DS26" s="142"/>
      <c r="DT26" s="142"/>
      <c r="DU26" s="142"/>
      <c r="DV26" s="142"/>
    </row>
    <row r="27" spans="1:126" ht="21.75" customHeight="1">
      <c r="A27" s="1870"/>
      <c r="B27" s="419" t="s">
        <v>184</v>
      </c>
      <c r="C27" s="423">
        <f t="shared" si="0"/>
        <v>0</v>
      </c>
      <c r="D27" s="388">
        <f t="shared" si="1"/>
        <v>0</v>
      </c>
      <c r="E27" s="389">
        <f t="shared" si="1"/>
        <v>0</v>
      </c>
      <c r="F27" s="390"/>
      <c r="G27" s="391"/>
      <c r="H27" s="434"/>
      <c r="I27" s="435"/>
      <c r="J27" s="434"/>
      <c r="K27" s="435"/>
      <c r="L27" s="434"/>
      <c r="M27" s="436"/>
      <c r="N27" s="434"/>
      <c r="O27" s="437"/>
      <c r="P27" s="390"/>
      <c r="Q27" s="392"/>
      <c r="R27" s="435"/>
      <c r="S27" s="435"/>
      <c r="T27" s="434"/>
      <c r="U27" s="438"/>
      <c r="V27" s="434"/>
      <c r="W27" s="437"/>
      <c r="X27" s="434"/>
      <c r="Y27" s="437"/>
      <c r="Z27" s="434"/>
      <c r="AA27" s="437"/>
      <c r="AB27" s="435"/>
      <c r="AC27" s="438"/>
      <c r="AD27" s="439"/>
      <c r="AE27" s="437"/>
      <c r="AF27" s="434"/>
      <c r="AG27" s="437"/>
      <c r="AH27" s="440"/>
      <c r="AI27" s="441"/>
      <c r="AJ27" s="435"/>
      <c r="AK27" s="437"/>
      <c r="AL27" s="381" t="str">
        <f>($CU27&amp;CV27&amp;CW27&amp;CX27)</f>
        <v/>
      </c>
      <c r="AM27" s="346"/>
      <c r="AN27" s="346"/>
      <c r="AO27" s="346"/>
      <c r="AP27" s="346"/>
      <c r="AQ27" s="346"/>
      <c r="AR27" s="346"/>
      <c r="AS27" s="346"/>
      <c r="AT27" s="346"/>
      <c r="AU27" s="346"/>
      <c r="AV27" s="346"/>
      <c r="BF27" s="5"/>
      <c r="BG27" s="5"/>
      <c r="BH27" s="5"/>
      <c r="BI27" s="5"/>
      <c r="BJ27" s="5"/>
      <c r="BK27" s="5"/>
      <c r="BL27" s="5"/>
      <c r="BM27" s="5"/>
      <c r="BN27" s="5"/>
      <c r="BR27" s="346"/>
      <c r="BS27" s="346"/>
      <c r="CC27" s="382"/>
      <c r="CD27" s="290"/>
      <c r="CE27" s="290"/>
      <c r="CF27" s="290"/>
      <c r="CG27" s="290"/>
      <c r="CH27" s="290"/>
      <c r="CI27" s="290"/>
      <c r="CJ27" s="290"/>
      <c r="CK27" s="290"/>
      <c r="CL27" s="290"/>
      <c r="CM27" s="290"/>
      <c r="CN27" s="355"/>
      <c r="CO27" s="355"/>
      <c r="CP27" s="355"/>
      <c r="CQ27" s="355"/>
      <c r="CR27" s="355"/>
      <c r="CS27" s="355"/>
      <c r="CT27" s="355"/>
      <c r="CU27" s="383" t="str">
        <f t="shared" si="2"/>
        <v/>
      </c>
      <c r="CV27" s="383" t="str">
        <f t="shared" ref="CV27:CV28" si="39">IF(AND(E27&gt;0,OR(AI27=""))," * No olvide digitar la variable Pueblos Originarios Mujeres (Digite Cero si no tiene).",IF(AI27&gt;E27," * La variable Pueblos Originarios Mujeres no puede ser Mayor al Total Mujeres.",""))</f>
        <v/>
      </c>
      <c r="CW27" s="383" t="str">
        <f t="shared" ref="CW27:CW28" si="40">IF(AND(D27&gt;0,OR(AJ27=""))," * No olvide digitar la variable Migrantes Hombres (Digite Cero si no tiene).",IF(AJ27&gt;D27," * La variable Migrantes Hombres no puede ser Mayor al Total.",""))</f>
        <v/>
      </c>
      <c r="CX27" s="383" t="str">
        <f t="shared" ref="CX27:CX28" si="41">IF(AND(E27&gt;0,OR(AK27=""))," * No olvide digitar la variable Migrantes Mujeres (Digite Cero si no tiene).",IF(AK27&gt;E27," * La variable Migrantes Mujeres no puede ser Mayor al Total.",""))</f>
        <v/>
      </c>
      <c r="CY27" s="355"/>
      <c r="CZ27" s="355"/>
      <c r="DA27" s="355"/>
      <c r="DB27" s="355"/>
      <c r="DC27" s="355"/>
      <c r="DD27" s="142"/>
      <c r="DE27" s="142"/>
      <c r="DF27" s="142"/>
      <c r="DG27" s="142"/>
      <c r="DH27" s="142"/>
      <c r="DI27" s="142"/>
      <c r="DJ27" s="142"/>
      <c r="DK27" s="142"/>
      <c r="DL27" s="142"/>
      <c r="DM27" s="142"/>
      <c r="DN27" s="142"/>
      <c r="DO27" s="142"/>
      <c r="DP27" s="142"/>
      <c r="DQ27" s="385">
        <f t="shared" ref="DQ27:DR28" si="42">IF(AND(D27&gt;0,OR(AH27="")),1,IF(AH27&gt;D27,1,0))</f>
        <v>0</v>
      </c>
      <c r="DR27" s="385">
        <f t="shared" si="42"/>
        <v>0</v>
      </c>
      <c r="DS27" s="385">
        <f t="shared" ref="DS27:DT28" si="43">IF(AND(D27&gt;0,OR(AJ27="")),1,IF(AJ27&gt;D27,1,0))</f>
        <v>0</v>
      </c>
      <c r="DT27" s="385">
        <f t="shared" si="43"/>
        <v>0</v>
      </c>
      <c r="DU27" s="142"/>
      <c r="DV27" s="142"/>
    </row>
    <row r="28" spans="1:126" ht="21.75" customHeight="1">
      <c r="A28" s="1870"/>
      <c r="B28" s="399" t="s">
        <v>185</v>
      </c>
      <c r="C28" s="424">
        <f t="shared" si="0"/>
        <v>0</v>
      </c>
      <c r="D28" s="367">
        <f t="shared" si="1"/>
        <v>0</v>
      </c>
      <c r="E28" s="368">
        <f t="shared" si="1"/>
        <v>0</v>
      </c>
      <c r="F28" s="401"/>
      <c r="G28" s="402"/>
      <c r="H28" s="401"/>
      <c r="I28" s="405"/>
      <c r="J28" s="401"/>
      <c r="K28" s="405"/>
      <c r="L28" s="401"/>
      <c r="M28" s="404"/>
      <c r="N28" s="401"/>
      <c r="O28" s="403"/>
      <c r="P28" s="401"/>
      <c r="Q28" s="403"/>
      <c r="R28" s="405"/>
      <c r="S28" s="405"/>
      <c r="T28" s="401"/>
      <c r="U28" s="406"/>
      <c r="V28" s="401"/>
      <c r="W28" s="403"/>
      <c r="X28" s="401"/>
      <c r="Y28" s="403"/>
      <c r="Z28" s="401"/>
      <c r="AA28" s="403"/>
      <c r="AB28" s="405"/>
      <c r="AC28" s="406"/>
      <c r="AD28" s="407"/>
      <c r="AE28" s="403"/>
      <c r="AF28" s="401"/>
      <c r="AG28" s="403"/>
      <c r="AH28" s="408"/>
      <c r="AI28" s="409"/>
      <c r="AJ28" s="405"/>
      <c r="AK28" s="403"/>
      <c r="AL28" s="381" t="str">
        <f>($CU28&amp;CV28&amp;CW28&amp;CX28)</f>
        <v/>
      </c>
      <c r="AM28" s="346"/>
      <c r="AN28" s="346"/>
      <c r="AO28" s="346"/>
      <c r="AP28" s="346"/>
      <c r="AQ28" s="346"/>
      <c r="AR28" s="346"/>
      <c r="AS28" s="346"/>
      <c r="AT28" s="346"/>
      <c r="AU28" s="346"/>
      <c r="AV28" s="346"/>
      <c r="BF28" s="5"/>
      <c r="BG28" s="5"/>
      <c r="BH28" s="5"/>
      <c r="BI28" s="5"/>
      <c r="BJ28" s="5"/>
      <c r="BK28" s="5"/>
      <c r="BL28" s="5"/>
      <c r="BM28" s="5"/>
      <c r="BN28" s="5"/>
      <c r="BR28" s="346"/>
      <c r="BS28" s="346"/>
      <c r="CC28" s="382"/>
      <c r="CD28" s="290"/>
      <c r="CE28" s="290"/>
      <c r="CF28" s="290"/>
      <c r="CG28" s="290"/>
      <c r="CH28" s="290"/>
      <c r="CI28" s="290"/>
      <c r="CJ28" s="290"/>
      <c r="CK28" s="290"/>
      <c r="CL28" s="290"/>
      <c r="CM28" s="290"/>
      <c r="CN28" s="355"/>
      <c r="CO28" s="355"/>
      <c r="CP28" s="355"/>
      <c r="CQ28" s="355"/>
      <c r="CR28" s="355"/>
      <c r="CS28" s="355"/>
      <c r="CT28" s="355"/>
      <c r="CU28" s="383" t="str">
        <f t="shared" si="2"/>
        <v/>
      </c>
      <c r="CV28" s="383" t="str">
        <f t="shared" si="39"/>
        <v/>
      </c>
      <c r="CW28" s="383" t="str">
        <f t="shared" si="40"/>
        <v/>
      </c>
      <c r="CX28" s="383" t="str">
        <f t="shared" si="41"/>
        <v/>
      </c>
      <c r="CY28" s="355"/>
      <c r="CZ28" s="355"/>
      <c r="DA28" s="355"/>
      <c r="DB28" s="355"/>
      <c r="DC28" s="355"/>
      <c r="DD28" s="142"/>
      <c r="DE28" s="142"/>
      <c r="DF28" s="142"/>
      <c r="DG28" s="142"/>
      <c r="DH28" s="142"/>
      <c r="DI28" s="142"/>
      <c r="DJ28" s="142"/>
      <c r="DK28" s="142"/>
      <c r="DL28" s="142"/>
      <c r="DM28" s="142"/>
      <c r="DN28" s="142"/>
      <c r="DO28" s="142"/>
      <c r="DP28" s="142"/>
      <c r="DQ28" s="385">
        <f t="shared" si="42"/>
        <v>0</v>
      </c>
      <c r="DR28" s="385">
        <f t="shared" si="42"/>
        <v>0</v>
      </c>
      <c r="DS28" s="385">
        <f t="shared" si="43"/>
        <v>0</v>
      </c>
      <c r="DT28" s="385">
        <f t="shared" si="43"/>
        <v>0</v>
      </c>
      <c r="DU28" s="142"/>
      <c r="DV28" s="142"/>
    </row>
    <row r="29" spans="1:126" ht="21.75" customHeight="1">
      <c r="A29" s="1870"/>
      <c r="B29" s="410" t="s">
        <v>5</v>
      </c>
      <c r="C29" s="416">
        <f>SUM(D29:E29)</f>
        <v>0</v>
      </c>
      <c r="D29" s="367">
        <f t="shared" si="1"/>
        <v>0</v>
      </c>
      <c r="E29" s="368">
        <f t="shared" si="1"/>
        <v>0</v>
      </c>
      <c r="F29" s="412">
        <f>SUM(F27:F28)</f>
        <v>0</v>
      </c>
      <c r="G29" s="413">
        <f t="shared" ref="G29" si="44">SUM(G27:G28)</f>
        <v>0</v>
      </c>
      <c r="H29" s="425">
        <f>SUM(H27:H28)</f>
        <v>0</v>
      </c>
      <c r="I29" s="426">
        <f t="shared" ref="I29:AK29" si="45">SUM(I27:I28)</f>
        <v>0</v>
      </c>
      <c r="J29" s="425">
        <f t="shared" si="45"/>
        <v>0</v>
      </c>
      <c r="K29" s="426">
        <f t="shared" si="45"/>
        <v>0</v>
      </c>
      <c r="L29" s="425">
        <f t="shared" si="45"/>
        <v>0</v>
      </c>
      <c r="M29" s="427">
        <f t="shared" si="45"/>
        <v>0</v>
      </c>
      <c r="N29" s="425">
        <f t="shared" si="45"/>
        <v>0</v>
      </c>
      <c r="O29" s="428">
        <f t="shared" si="45"/>
        <v>0</v>
      </c>
      <c r="P29" s="425">
        <f t="shared" si="45"/>
        <v>0</v>
      </c>
      <c r="Q29" s="428">
        <f t="shared" si="45"/>
        <v>0</v>
      </c>
      <c r="R29" s="429">
        <f t="shared" si="45"/>
        <v>0</v>
      </c>
      <c r="S29" s="426">
        <f t="shared" si="45"/>
        <v>0</v>
      </c>
      <c r="T29" s="425">
        <f t="shared" si="45"/>
        <v>0</v>
      </c>
      <c r="U29" s="430">
        <f t="shared" si="45"/>
        <v>0</v>
      </c>
      <c r="V29" s="425">
        <f t="shared" si="45"/>
        <v>0</v>
      </c>
      <c r="W29" s="428">
        <f t="shared" si="45"/>
        <v>0</v>
      </c>
      <c r="X29" s="425">
        <f t="shared" si="45"/>
        <v>0</v>
      </c>
      <c r="Y29" s="428">
        <f t="shared" si="45"/>
        <v>0</v>
      </c>
      <c r="Z29" s="425">
        <f t="shared" si="45"/>
        <v>0</v>
      </c>
      <c r="AA29" s="428">
        <f t="shared" si="45"/>
        <v>0</v>
      </c>
      <c r="AB29" s="429">
        <f t="shared" si="45"/>
        <v>0</v>
      </c>
      <c r="AC29" s="430">
        <f t="shared" si="45"/>
        <v>0</v>
      </c>
      <c r="AD29" s="431">
        <f t="shared" si="45"/>
        <v>0</v>
      </c>
      <c r="AE29" s="428">
        <f t="shared" si="45"/>
        <v>0</v>
      </c>
      <c r="AF29" s="425">
        <f t="shared" si="45"/>
        <v>0</v>
      </c>
      <c r="AG29" s="428">
        <f t="shared" si="45"/>
        <v>0</v>
      </c>
      <c r="AH29" s="432">
        <f t="shared" si="45"/>
        <v>0</v>
      </c>
      <c r="AI29" s="433">
        <f t="shared" si="45"/>
        <v>0</v>
      </c>
      <c r="AJ29" s="429">
        <f t="shared" si="45"/>
        <v>0</v>
      </c>
      <c r="AK29" s="428">
        <f t="shared" si="45"/>
        <v>0</v>
      </c>
      <c r="AL29" s="381" t="str">
        <f>($CD29&amp;CE29)</f>
        <v/>
      </c>
      <c r="AM29" s="346"/>
      <c r="AN29" s="346"/>
      <c r="AO29" s="346"/>
      <c r="AP29" s="346"/>
      <c r="AQ29" s="346"/>
      <c r="AR29" s="346"/>
      <c r="AS29" s="346"/>
      <c r="AT29" s="346"/>
      <c r="AU29" s="346"/>
      <c r="AV29" s="346"/>
      <c r="BF29" s="5"/>
      <c r="BG29" s="5"/>
      <c r="BH29" s="5"/>
      <c r="BI29" s="5"/>
      <c r="BJ29" s="5"/>
      <c r="BK29" s="5"/>
      <c r="BL29" s="5"/>
      <c r="BM29" s="5"/>
      <c r="BN29" s="5"/>
      <c r="BR29" s="346"/>
      <c r="BS29" s="346"/>
      <c r="CC29" s="382"/>
      <c r="CD29" s="290"/>
      <c r="CE29" s="290"/>
      <c r="CF29" s="290"/>
      <c r="CG29" s="290"/>
      <c r="CH29" s="290"/>
      <c r="CI29" s="290"/>
      <c r="CJ29" s="290"/>
      <c r="CK29" s="290"/>
      <c r="CL29" s="290"/>
      <c r="CM29" s="290"/>
      <c r="CN29" s="355"/>
      <c r="CO29" s="355"/>
      <c r="CP29" s="355"/>
      <c r="CQ29" s="355"/>
      <c r="CR29" s="355"/>
      <c r="CS29" s="355"/>
      <c r="CT29" s="355"/>
      <c r="CU29" s="355"/>
      <c r="CV29" s="355"/>
      <c r="CW29" s="355"/>
      <c r="CX29" s="355"/>
      <c r="CY29" s="355"/>
      <c r="CZ29" s="355"/>
      <c r="DA29" s="355"/>
      <c r="DB29" s="355"/>
      <c r="DC29" s="355"/>
      <c r="DD29" s="142"/>
      <c r="DE29" s="142"/>
      <c r="DF29" s="142"/>
      <c r="DG29" s="142"/>
      <c r="DH29" s="142"/>
      <c r="DI29" s="142"/>
      <c r="DJ29" s="142"/>
      <c r="DK29" s="142"/>
      <c r="DL29" s="142"/>
      <c r="DM29" s="142"/>
      <c r="DN29" s="142"/>
      <c r="DO29" s="142"/>
      <c r="DP29" s="142"/>
      <c r="DQ29" s="142"/>
      <c r="DR29" s="142"/>
      <c r="DS29" s="142"/>
      <c r="DT29" s="142"/>
      <c r="DU29" s="142"/>
      <c r="DV29" s="142"/>
    </row>
    <row r="30" spans="1:126" ht="21.75" customHeight="1">
      <c r="A30" s="1871"/>
      <c r="B30" s="442" t="s">
        <v>188</v>
      </c>
      <c r="C30" s="443">
        <f t="shared" si="0"/>
        <v>0</v>
      </c>
      <c r="D30" s="367">
        <f t="shared" si="1"/>
        <v>0</v>
      </c>
      <c r="E30" s="368">
        <f t="shared" si="1"/>
        <v>0</v>
      </c>
      <c r="F30" s="373"/>
      <c r="G30" s="444"/>
      <c r="H30" s="373"/>
      <c r="I30" s="374"/>
      <c r="J30" s="373"/>
      <c r="K30" s="374"/>
      <c r="L30" s="373"/>
      <c r="M30" s="445"/>
      <c r="N30" s="373"/>
      <c r="O30" s="374"/>
      <c r="P30" s="373"/>
      <c r="Q30" s="374"/>
      <c r="R30" s="380"/>
      <c r="S30" s="374"/>
      <c r="T30" s="373"/>
      <c r="U30" s="445"/>
      <c r="V30" s="373"/>
      <c r="W30" s="374"/>
      <c r="X30" s="369"/>
      <c r="Y30" s="371"/>
      <c r="Z30" s="369"/>
      <c r="AA30" s="371"/>
      <c r="AB30" s="373"/>
      <c r="AC30" s="376"/>
      <c r="AD30" s="446"/>
      <c r="AE30" s="371"/>
      <c r="AF30" s="369"/>
      <c r="AG30" s="371"/>
      <c r="AH30" s="447"/>
      <c r="AI30" s="448"/>
      <c r="AJ30" s="375"/>
      <c r="AK30" s="371"/>
      <c r="AL30" s="381" t="str">
        <f t="shared" ref="AL30:AL35" si="46">($CU30&amp;CV30&amp;CW30&amp;CX30)</f>
        <v/>
      </c>
      <c r="AM30" s="346"/>
      <c r="AN30" s="346"/>
      <c r="AO30" s="346"/>
      <c r="AP30" s="346"/>
      <c r="AQ30" s="346"/>
      <c r="AR30" s="346"/>
      <c r="AS30" s="346"/>
      <c r="AT30" s="346"/>
      <c r="AU30" s="346"/>
      <c r="AV30" s="346"/>
      <c r="BF30" s="5"/>
      <c r="BG30" s="5"/>
      <c r="BH30" s="5"/>
      <c r="BI30" s="5"/>
      <c r="BJ30" s="5"/>
      <c r="BK30" s="5"/>
      <c r="BL30" s="5"/>
      <c r="BM30" s="5"/>
      <c r="BN30" s="5"/>
      <c r="BR30" s="346"/>
      <c r="BS30" s="346"/>
      <c r="CC30" s="382"/>
      <c r="CD30" s="290"/>
      <c r="CE30" s="290"/>
      <c r="CF30" s="290"/>
      <c r="CG30" s="290"/>
      <c r="CH30" s="290"/>
      <c r="CI30" s="290"/>
      <c r="CJ30" s="290"/>
      <c r="CK30" s="290"/>
      <c r="CL30" s="290"/>
      <c r="CM30" s="290"/>
      <c r="CN30" s="355"/>
      <c r="CO30" s="355"/>
      <c r="CP30" s="355"/>
      <c r="CQ30" s="355"/>
      <c r="CR30" s="355"/>
      <c r="CS30" s="355"/>
      <c r="CT30" s="355"/>
      <c r="CU30" s="383" t="str">
        <f t="shared" si="2"/>
        <v/>
      </c>
      <c r="CV30" s="383" t="str">
        <f t="shared" ref="CV30:CV35" si="47">IF(AND(E30&gt;0,OR(AI30=""))," * No olvide digitar la variable Pueblos Originarios Mujeres (Digite Cero si no tiene).",IF(AI30&gt;E30," * La variable Pueblos Originarios Mujeres no puede ser Mayor al Total Mujeres.",""))</f>
        <v/>
      </c>
      <c r="CW30" s="383" t="str">
        <f t="shared" ref="CW30:CW35" si="48">IF(AND(D30&gt;0,OR(AJ30=""))," * No olvide digitar la variable Migrantes Hombres (Digite Cero si no tiene).",IF(AJ30&gt;D30," * La variable Migrantes Hombres no puede ser Mayor al Total.",""))</f>
        <v/>
      </c>
      <c r="CX30" s="383" t="str">
        <f t="shared" ref="CX30:CX35" si="49">IF(AND(E30&gt;0,OR(AK30=""))," * No olvide digitar la variable Migrantes Mujeres (Digite Cero si no tiene).",IF(AK30&gt;E30," * La variable Migrantes Mujeres no puede ser Mayor al Total.",""))</f>
        <v/>
      </c>
      <c r="CY30" s="355"/>
      <c r="CZ30" s="355"/>
      <c r="DA30" s="355"/>
      <c r="DB30" s="355"/>
      <c r="DC30" s="355"/>
      <c r="DD30" s="142"/>
      <c r="DE30" s="142"/>
      <c r="DF30" s="142"/>
      <c r="DG30" s="142"/>
      <c r="DH30" s="142"/>
      <c r="DI30" s="142"/>
      <c r="DJ30" s="142"/>
      <c r="DK30" s="142"/>
      <c r="DL30" s="142"/>
      <c r="DM30" s="142"/>
      <c r="DN30" s="142"/>
      <c r="DO30" s="142"/>
      <c r="DP30" s="142"/>
      <c r="DQ30" s="385">
        <f t="shared" ref="DQ30:DR35" si="50">IF(AND(D30&gt;0,OR(AH30="")),1,IF(AH30&gt;D30,1,0))</f>
        <v>0</v>
      </c>
      <c r="DR30" s="385">
        <f t="shared" si="50"/>
        <v>0</v>
      </c>
      <c r="DS30" s="385">
        <f t="shared" ref="DS30:DT35" si="51">IF(AND(D30&gt;0,OR(AJ30="")),1,IF(AJ30&gt;D30,1,0))</f>
        <v>0</v>
      </c>
      <c r="DT30" s="385">
        <f t="shared" si="51"/>
        <v>0</v>
      </c>
      <c r="DU30" s="142"/>
      <c r="DV30" s="142"/>
    </row>
    <row r="31" spans="1:126" ht="21.75" customHeight="1">
      <c r="A31" s="1785" t="s">
        <v>189</v>
      </c>
      <c r="B31" s="419" t="s">
        <v>190</v>
      </c>
      <c r="C31" s="449">
        <f t="shared" si="0"/>
        <v>0</v>
      </c>
      <c r="D31" s="388">
        <f>+H31+J31+L31+N31+P31+R31+T31+V31+X31+Z31+AB31+AD31+AF31</f>
        <v>0</v>
      </c>
      <c r="E31" s="389">
        <f>+I31+K31+M31+O31+Q31+S31+U31+W31+Y31+AA31+AC31+AE31+AG31</f>
        <v>0</v>
      </c>
      <c r="F31" s="450"/>
      <c r="G31" s="451"/>
      <c r="H31" s="390"/>
      <c r="I31" s="392"/>
      <c r="J31" s="390"/>
      <c r="K31" s="392"/>
      <c r="L31" s="390"/>
      <c r="M31" s="393"/>
      <c r="N31" s="390"/>
      <c r="O31" s="392"/>
      <c r="P31" s="390"/>
      <c r="Q31" s="392"/>
      <c r="R31" s="394"/>
      <c r="S31" s="392"/>
      <c r="T31" s="390"/>
      <c r="U31" s="393"/>
      <c r="V31" s="390"/>
      <c r="W31" s="392"/>
      <c r="X31" s="390"/>
      <c r="Y31" s="392"/>
      <c r="Z31" s="390"/>
      <c r="AA31" s="392"/>
      <c r="AB31" s="394"/>
      <c r="AC31" s="393"/>
      <c r="AD31" s="396"/>
      <c r="AE31" s="392"/>
      <c r="AF31" s="390"/>
      <c r="AG31" s="392"/>
      <c r="AH31" s="397"/>
      <c r="AI31" s="398"/>
      <c r="AJ31" s="394"/>
      <c r="AK31" s="392"/>
      <c r="AL31" s="381" t="str">
        <f t="shared" si="46"/>
        <v/>
      </c>
      <c r="AM31" s="346"/>
      <c r="AN31" s="346"/>
      <c r="AO31" s="346"/>
      <c r="AP31" s="346"/>
      <c r="AQ31" s="346"/>
      <c r="AR31" s="346"/>
      <c r="AS31" s="346"/>
      <c r="AT31" s="346"/>
      <c r="AU31" s="346"/>
      <c r="AV31" s="346"/>
      <c r="BF31" s="5"/>
      <c r="BG31" s="5"/>
      <c r="BH31" s="5"/>
      <c r="BI31" s="5"/>
      <c r="BJ31" s="5"/>
      <c r="BK31" s="5"/>
      <c r="BL31" s="5"/>
      <c r="BM31" s="5"/>
      <c r="BN31" s="5"/>
      <c r="BR31" s="346"/>
      <c r="BS31" s="346"/>
      <c r="CC31" s="382"/>
      <c r="CD31" s="290"/>
      <c r="CE31" s="290"/>
      <c r="CF31" s="290"/>
      <c r="CG31" s="290"/>
      <c r="CH31" s="290"/>
      <c r="CI31" s="290"/>
      <c r="CJ31" s="290"/>
      <c r="CK31" s="290"/>
      <c r="CL31" s="290"/>
      <c r="CM31" s="290"/>
      <c r="CN31" s="355"/>
      <c r="CO31" s="355"/>
      <c r="CP31" s="355"/>
      <c r="CQ31" s="355"/>
      <c r="CR31" s="355"/>
      <c r="CS31" s="355"/>
      <c r="CT31" s="355"/>
      <c r="CU31" s="383" t="str">
        <f t="shared" si="2"/>
        <v/>
      </c>
      <c r="CV31" s="383" t="str">
        <f t="shared" si="47"/>
        <v/>
      </c>
      <c r="CW31" s="383" t="str">
        <f t="shared" si="48"/>
        <v/>
      </c>
      <c r="CX31" s="383" t="str">
        <f t="shared" si="49"/>
        <v/>
      </c>
      <c r="CY31" s="355"/>
      <c r="CZ31" s="355"/>
      <c r="DA31" s="355"/>
      <c r="DB31" s="355"/>
      <c r="DC31" s="355"/>
      <c r="DD31" s="142"/>
      <c r="DE31" s="142"/>
      <c r="DF31" s="142"/>
      <c r="DG31" s="142"/>
      <c r="DH31" s="142"/>
      <c r="DI31" s="142"/>
      <c r="DJ31" s="142"/>
      <c r="DK31" s="142"/>
      <c r="DL31" s="142"/>
      <c r="DM31" s="142"/>
      <c r="DN31" s="142"/>
      <c r="DO31" s="142"/>
      <c r="DP31" s="142"/>
      <c r="DQ31" s="385">
        <f t="shared" si="50"/>
        <v>0</v>
      </c>
      <c r="DR31" s="385">
        <f t="shared" si="50"/>
        <v>0</v>
      </c>
      <c r="DS31" s="385">
        <f t="shared" si="51"/>
        <v>0</v>
      </c>
      <c r="DT31" s="385">
        <f t="shared" si="51"/>
        <v>0</v>
      </c>
      <c r="DU31" s="142"/>
      <c r="DV31" s="142"/>
    </row>
    <row r="32" spans="1:126" ht="21.75" customHeight="1">
      <c r="A32" s="1787"/>
      <c r="B32" s="386" t="s">
        <v>191</v>
      </c>
      <c r="C32" s="452">
        <f t="shared" si="0"/>
        <v>0</v>
      </c>
      <c r="D32" s="453">
        <f t="shared" ref="D32:E38" si="52">+H32+J32+L32+N32+P32+R32+T32+V32+X32+Z32+AB32+AD32+AF32</f>
        <v>0</v>
      </c>
      <c r="E32" s="454">
        <f t="shared" si="52"/>
        <v>0</v>
      </c>
      <c r="F32" s="455"/>
      <c r="G32" s="456"/>
      <c r="H32" s="457"/>
      <c r="I32" s="458"/>
      <c r="J32" s="457"/>
      <c r="K32" s="458"/>
      <c r="L32" s="457"/>
      <c r="M32" s="459"/>
      <c r="N32" s="457"/>
      <c r="O32" s="458"/>
      <c r="P32" s="457"/>
      <c r="Q32" s="458"/>
      <c r="R32" s="460"/>
      <c r="S32" s="458"/>
      <c r="T32" s="457"/>
      <c r="U32" s="459"/>
      <c r="V32" s="457"/>
      <c r="W32" s="458"/>
      <c r="X32" s="457"/>
      <c r="Y32" s="458"/>
      <c r="Z32" s="457"/>
      <c r="AA32" s="458"/>
      <c r="AB32" s="460"/>
      <c r="AC32" s="459"/>
      <c r="AD32" s="461"/>
      <c r="AE32" s="458"/>
      <c r="AF32" s="457"/>
      <c r="AG32" s="458"/>
      <c r="AH32" s="462"/>
      <c r="AI32" s="463"/>
      <c r="AJ32" s="460"/>
      <c r="AK32" s="458"/>
      <c r="AL32" s="381" t="str">
        <f t="shared" si="46"/>
        <v/>
      </c>
      <c r="AM32" s="346"/>
      <c r="AN32" s="346"/>
      <c r="AO32" s="346"/>
      <c r="AP32" s="346"/>
      <c r="AQ32" s="346"/>
      <c r="AR32" s="346"/>
      <c r="AS32" s="346"/>
      <c r="AT32" s="346"/>
      <c r="AU32" s="346"/>
      <c r="AV32" s="346"/>
      <c r="BF32" s="5"/>
      <c r="BG32" s="5"/>
      <c r="BH32" s="5"/>
      <c r="BI32" s="5"/>
      <c r="BJ32" s="5"/>
      <c r="BK32" s="5"/>
      <c r="BL32" s="5"/>
      <c r="BM32" s="5"/>
      <c r="BN32" s="5"/>
      <c r="BR32" s="346"/>
      <c r="BS32" s="346"/>
      <c r="CC32" s="382"/>
      <c r="CD32" s="290"/>
      <c r="CE32" s="290"/>
      <c r="CF32" s="290"/>
      <c r="CG32" s="290"/>
      <c r="CH32" s="290"/>
      <c r="CI32" s="290"/>
      <c r="CJ32" s="290"/>
      <c r="CK32" s="290"/>
      <c r="CL32" s="290"/>
      <c r="CM32" s="290"/>
      <c r="CN32" s="355"/>
      <c r="CO32" s="355"/>
      <c r="CP32" s="355"/>
      <c r="CQ32" s="355"/>
      <c r="CR32" s="355"/>
      <c r="CS32" s="355"/>
      <c r="CT32" s="355"/>
      <c r="CU32" s="383" t="str">
        <f t="shared" si="2"/>
        <v/>
      </c>
      <c r="CV32" s="383" t="str">
        <f t="shared" si="47"/>
        <v/>
      </c>
      <c r="CW32" s="383" t="str">
        <f t="shared" si="48"/>
        <v/>
      </c>
      <c r="CX32" s="383" t="str">
        <f t="shared" si="49"/>
        <v/>
      </c>
      <c r="CY32" s="355"/>
      <c r="CZ32" s="355"/>
      <c r="DA32" s="355"/>
      <c r="DB32" s="355"/>
      <c r="DC32" s="355"/>
      <c r="DD32" s="142"/>
      <c r="DE32" s="142"/>
      <c r="DF32" s="142"/>
      <c r="DG32" s="142"/>
      <c r="DH32" s="142"/>
      <c r="DI32" s="142"/>
      <c r="DJ32" s="142"/>
      <c r="DK32" s="142"/>
      <c r="DL32" s="142"/>
      <c r="DM32" s="142"/>
      <c r="DN32" s="142"/>
      <c r="DO32" s="142"/>
      <c r="DP32" s="142"/>
      <c r="DQ32" s="385">
        <f t="shared" si="50"/>
        <v>0</v>
      </c>
      <c r="DR32" s="385">
        <f t="shared" si="50"/>
        <v>0</v>
      </c>
      <c r="DS32" s="385">
        <f t="shared" si="51"/>
        <v>0</v>
      </c>
      <c r="DT32" s="385">
        <f t="shared" si="51"/>
        <v>0</v>
      </c>
      <c r="DU32" s="142"/>
      <c r="DV32" s="142"/>
    </row>
    <row r="33" spans="1:126" ht="21.75" customHeight="1">
      <c r="A33" s="1787"/>
      <c r="B33" s="386" t="s">
        <v>192</v>
      </c>
      <c r="C33" s="452">
        <f t="shared" si="0"/>
        <v>0</v>
      </c>
      <c r="D33" s="453">
        <f t="shared" si="52"/>
        <v>0</v>
      </c>
      <c r="E33" s="454">
        <f t="shared" si="52"/>
        <v>0</v>
      </c>
      <c r="F33" s="455"/>
      <c r="G33" s="456"/>
      <c r="H33" s="457"/>
      <c r="I33" s="458"/>
      <c r="J33" s="457"/>
      <c r="K33" s="458"/>
      <c r="L33" s="457"/>
      <c r="M33" s="459"/>
      <c r="N33" s="457"/>
      <c r="O33" s="458"/>
      <c r="P33" s="457"/>
      <c r="Q33" s="458"/>
      <c r="R33" s="460"/>
      <c r="S33" s="458"/>
      <c r="T33" s="457"/>
      <c r="U33" s="459"/>
      <c r="V33" s="457"/>
      <c r="W33" s="458"/>
      <c r="X33" s="457"/>
      <c r="Y33" s="458"/>
      <c r="Z33" s="457"/>
      <c r="AA33" s="458"/>
      <c r="AB33" s="460"/>
      <c r="AC33" s="459"/>
      <c r="AD33" s="461"/>
      <c r="AE33" s="458"/>
      <c r="AF33" s="457"/>
      <c r="AG33" s="458"/>
      <c r="AH33" s="462"/>
      <c r="AI33" s="463"/>
      <c r="AJ33" s="460"/>
      <c r="AK33" s="458"/>
      <c r="AL33" s="381" t="str">
        <f t="shared" si="46"/>
        <v/>
      </c>
      <c r="AM33" s="346"/>
      <c r="AN33" s="346"/>
      <c r="AO33" s="346"/>
      <c r="AP33" s="346"/>
      <c r="AQ33" s="346"/>
      <c r="AR33" s="346"/>
      <c r="AS33" s="346"/>
      <c r="AT33" s="346"/>
      <c r="AU33" s="346"/>
      <c r="AV33" s="346"/>
      <c r="BF33" s="5"/>
      <c r="BG33" s="5"/>
      <c r="BH33" s="5"/>
      <c r="BI33" s="5"/>
      <c r="BJ33" s="5"/>
      <c r="BK33" s="5"/>
      <c r="BL33" s="5"/>
      <c r="BM33" s="5"/>
      <c r="BN33" s="5"/>
      <c r="BR33" s="346"/>
      <c r="BS33" s="346"/>
      <c r="CC33" s="382"/>
      <c r="CD33" s="290"/>
      <c r="CE33" s="290"/>
      <c r="CF33" s="290"/>
      <c r="CG33" s="290"/>
      <c r="CH33" s="290"/>
      <c r="CI33" s="290"/>
      <c r="CJ33" s="290"/>
      <c r="CK33" s="290"/>
      <c r="CL33" s="290"/>
      <c r="CM33" s="290"/>
      <c r="CN33" s="355"/>
      <c r="CO33" s="355"/>
      <c r="CP33" s="355"/>
      <c r="CQ33" s="355"/>
      <c r="CR33" s="355"/>
      <c r="CS33" s="355"/>
      <c r="CT33" s="355"/>
      <c r="CU33" s="383" t="str">
        <f t="shared" si="2"/>
        <v/>
      </c>
      <c r="CV33" s="383" t="str">
        <f t="shared" si="47"/>
        <v/>
      </c>
      <c r="CW33" s="383" t="str">
        <f t="shared" si="48"/>
        <v/>
      </c>
      <c r="CX33" s="383" t="str">
        <f t="shared" si="49"/>
        <v/>
      </c>
      <c r="CY33" s="355"/>
      <c r="CZ33" s="355"/>
      <c r="DA33" s="355"/>
      <c r="DB33" s="355"/>
      <c r="DC33" s="355"/>
      <c r="DD33" s="142"/>
      <c r="DE33" s="142"/>
      <c r="DF33" s="142"/>
      <c r="DG33" s="142"/>
      <c r="DH33" s="142"/>
      <c r="DI33" s="142"/>
      <c r="DJ33" s="142"/>
      <c r="DK33" s="142"/>
      <c r="DL33" s="142"/>
      <c r="DM33" s="142"/>
      <c r="DN33" s="142"/>
      <c r="DO33" s="142"/>
      <c r="DP33" s="142"/>
      <c r="DQ33" s="385">
        <f t="shared" si="50"/>
        <v>0</v>
      </c>
      <c r="DR33" s="385">
        <f t="shared" si="50"/>
        <v>0</v>
      </c>
      <c r="DS33" s="385">
        <f t="shared" si="51"/>
        <v>0</v>
      </c>
      <c r="DT33" s="385">
        <f t="shared" si="51"/>
        <v>0</v>
      </c>
      <c r="DU33" s="142"/>
      <c r="DV33" s="142"/>
    </row>
    <row r="34" spans="1:126" ht="21.75" customHeight="1">
      <c r="A34" s="1787"/>
      <c r="B34" s="386" t="s">
        <v>193</v>
      </c>
      <c r="C34" s="452">
        <f t="shared" si="0"/>
        <v>0</v>
      </c>
      <c r="D34" s="453">
        <f t="shared" si="52"/>
        <v>0</v>
      </c>
      <c r="E34" s="454">
        <f t="shared" si="52"/>
        <v>0</v>
      </c>
      <c r="F34" s="455"/>
      <c r="G34" s="456"/>
      <c r="H34" s="457"/>
      <c r="I34" s="458"/>
      <c r="J34" s="457"/>
      <c r="K34" s="458"/>
      <c r="L34" s="457"/>
      <c r="M34" s="459"/>
      <c r="N34" s="457"/>
      <c r="O34" s="458"/>
      <c r="P34" s="457"/>
      <c r="Q34" s="458"/>
      <c r="R34" s="460"/>
      <c r="S34" s="458"/>
      <c r="T34" s="457"/>
      <c r="U34" s="459"/>
      <c r="V34" s="457"/>
      <c r="W34" s="458"/>
      <c r="X34" s="457"/>
      <c r="Y34" s="458"/>
      <c r="Z34" s="457"/>
      <c r="AA34" s="458"/>
      <c r="AB34" s="460"/>
      <c r="AC34" s="459"/>
      <c r="AD34" s="461"/>
      <c r="AE34" s="458"/>
      <c r="AF34" s="457"/>
      <c r="AG34" s="458"/>
      <c r="AH34" s="462"/>
      <c r="AI34" s="463"/>
      <c r="AJ34" s="460"/>
      <c r="AK34" s="458"/>
      <c r="AL34" s="381" t="str">
        <f t="shared" si="46"/>
        <v/>
      </c>
      <c r="AM34" s="346"/>
      <c r="AN34" s="346"/>
      <c r="AO34" s="346"/>
      <c r="AP34" s="346"/>
      <c r="AQ34" s="346"/>
      <c r="AR34" s="346"/>
      <c r="AS34" s="346"/>
      <c r="AT34" s="346"/>
      <c r="AU34" s="346"/>
      <c r="AV34" s="346"/>
      <c r="BF34" s="5"/>
      <c r="BG34" s="5"/>
      <c r="BH34" s="5"/>
      <c r="BI34" s="5"/>
      <c r="BJ34" s="5"/>
      <c r="BK34" s="5"/>
      <c r="BL34" s="5"/>
      <c r="BM34" s="5"/>
      <c r="BN34" s="5"/>
      <c r="BR34" s="346"/>
      <c r="BS34" s="346"/>
      <c r="CC34" s="382"/>
      <c r="CD34" s="290"/>
      <c r="CE34" s="290"/>
      <c r="CF34" s="290"/>
      <c r="CG34" s="290"/>
      <c r="CH34" s="290"/>
      <c r="CI34" s="290"/>
      <c r="CJ34" s="290"/>
      <c r="CK34" s="290"/>
      <c r="CL34" s="290"/>
      <c r="CM34" s="290"/>
      <c r="CN34" s="355"/>
      <c r="CO34" s="355"/>
      <c r="CP34" s="355"/>
      <c r="CQ34" s="355"/>
      <c r="CR34" s="355"/>
      <c r="CS34" s="355"/>
      <c r="CT34" s="355"/>
      <c r="CU34" s="383" t="str">
        <f t="shared" si="2"/>
        <v/>
      </c>
      <c r="CV34" s="383" t="str">
        <f t="shared" si="47"/>
        <v/>
      </c>
      <c r="CW34" s="383" t="str">
        <f t="shared" si="48"/>
        <v/>
      </c>
      <c r="CX34" s="383" t="str">
        <f t="shared" si="49"/>
        <v/>
      </c>
      <c r="CY34" s="355"/>
      <c r="CZ34" s="355"/>
      <c r="DA34" s="355"/>
      <c r="DB34" s="355"/>
      <c r="DC34" s="355"/>
      <c r="DD34" s="142"/>
      <c r="DE34" s="142"/>
      <c r="DF34" s="142"/>
      <c r="DG34" s="142"/>
      <c r="DH34" s="142"/>
      <c r="DI34" s="142"/>
      <c r="DJ34" s="142"/>
      <c r="DK34" s="142"/>
      <c r="DL34" s="142"/>
      <c r="DM34" s="142"/>
      <c r="DN34" s="142"/>
      <c r="DO34" s="142"/>
      <c r="DP34" s="142"/>
      <c r="DQ34" s="385">
        <f t="shared" si="50"/>
        <v>0</v>
      </c>
      <c r="DR34" s="385">
        <f t="shared" si="50"/>
        <v>0</v>
      </c>
      <c r="DS34" s="385">
        <f t="shared" si="51"/>
        <v>0</v>
      </c>
      <c r="DT34" s="385">
        <f t="shared" si="51"/>
        <v>0</v>
      </c>
      <c r="DU34" s="142"/>
      <c r="DV34" s="142"/>
    </row>
    <row r="35" spans="1:126" ht="21.75" customHeight="1">
      <c r="A35" s="1787"/>
      <c r="B35" s="399" t="s">
        <v>152</v>
      </c>
      <c r="C35" s="424">
        <f t="shared" si="0"/>
        <v>0</v>
      </c>
      <c r="D35" s="464">
        <f t="shared" si="52"/>
        <v>0</v>
      </c>
      <c r="E35" s="465">
        <f t="shared" si="52"/>
        <v>0</v>
      </c>
      <c r="F35" s="455"/>
      <c r="G35" s="456"/>
      <c r="H35" s="434"/>
      <c r="I35" s="437"/>
      <c r="J35" s="434"/>
      <c r="K35" s="437"/>
      <c r="L35" s="369"/>
      <c r="M35" s="376"/>
      <c r="N35" s="369"/>
      <c r="O35" s="371"/>
      <c r="P35" s="369"/>
      <c r="Q35" s="371"/>
      <c r="R35" s="435"/>
      <c r="S35" s="437"/>
      <c r="T35" s="434"/>
      <c r="U35" s="436"/>
      <c r="V35" s="369"/>
      <c r="W35" s="371"/>
      <c r="X35" s="369"/>
      <c r="Y35" s="371"/>
      <c r="Z35" s="369"/>
      <c r="AA35" s="371"/>
      <c r="AB35" s="435"/>
      <c r="AC35" s="436"/>
      <c r="AD35" s="446"/>
      <c r="AE35" s="371"/>
      <c r="AF35" s="369"/>
      <c r="AG35" s="371"/>
      <c r="AH35" s="447"/>
      <c r="AI35" s="448"/>
      <c r="AJ35" s="466"/>
      <c r="AK35" s="467"/>
      <c r="AL35" s="381" t="str">
        <f t="shared" si="46"/>
        <v/>
      </c>
      <c r="AM35" s="346"/>
      <c r="AN35" s="346"/>
      <c r="AO35" s="346"/>
      <c r="AP35" s="346"/>
      <c r="AQ35" s="346"/>
      <c r="AR35" s="346"/>
      <c r="AS35" s="346"/>
      <c r="AT35" s="346"/>
      <c r="AU35" s="346"/>
      <c r="AV35" s="346"/>
      <c r="BF35" s="5"/>
      <c r="BG35" s="5"/>
      <c r="BH35" s="5"/>
      <c r="BI35" s="5"/>
      <c r="BJ35" s="5"/>
      <c r="BK35" s="5"/>
      <c r="BL35" s="5"/>
      <c r="BM35" s="5"/>
      <c r="BN35" s="5"/>
      <c r="BR35" s="346"/>
      <c r="BS35" s="346"/>
      <c r="CC35" s="382"/>
      <c r="CD35" s="290"/>
      <c r="CE35" s="290"/>
      <c r="CF35" s="290"/>
      <c r="CG35" s="290"/>
      <c r="CH35" s="290"/>
      <c r="CI35" s="290"/>
      <c r="CJ35" s="290"/>
      <c r="CK35" s="290"/>
      <c r="CL35" s="290"/>
      <c r="CM35" s="290"/>
      <c r="CN35" s="355"/>
      <c r="CO35" s="355"/>
      <c r="CP35" s="355"/>
      <c r="CQ35" s="355"/>
      <c r="CR35" s="355"/>
      <c r="CS35" s="355"/>
      <c r="CT35" s="355"/>
      <c r="CU35" s="383" t="str">
        <f t="shared" si="2"/>
        <v/>
      </c>
      <c r="CV35" s="383" t="str">
        <f t="shared" si="47"/>
        <v/>
      </c>
      <c r="CW35" s="383" t="str">
        <f t="shared" si="48"/>
        <v/>
      </c>
      <c r="CX35" s="383" t="str">
        <f t="shared" si="49"/>
        <v/>
      </c>
      <c r="CY35" s="355"/>
      <c r="CZ35" s="355"/>
      <c r="DA35" s="355"/>
      <c r="DB35" s="355"/>
      <c r="DC35" s="355"/>
      <c r="DD35" s="142"/>
      <c r="DE35" s="142"/>
      <c r="DF35" s="142"/>
      <c r="DG35" s="142"/>
      <c r="DH35" s="142"/>
      <c r="DI35" s="142"/>
      <c r="DJ35" s="142"/>
      <c r="DK35" s="142"/>
      <c r="DL35" s="142"/>
      <c r="DM35" s="142"/>
      <c r="DN35" s="142"/>
      <c r="DO35" s="142"/>
      <c r="DP35" s="142"/>
      <c r="DQ35" s="385">
        <f t="shared" si="50"/>
        <v>0</v>
      </c>
      <c r="DR35" s="385">
        <f t="shared" si="50"/>
        <v>0</v>
      </c>
      <c r="DS35" s="385">
        <f t="shared" si="51"/>
        <v>0</v>
      </c>
      <c r="DT35" s="385">
        <f t="shared" si="51"/>
        <v>0</v>
      </c>
      <c r="DU35" s="142"/>
      <c r="DV35" s="142"/>
    </row>
    <row r="36" spans="1:126" ht="21.75" customHeight="1">
      <c r="A36" s="1787"/>
      <c r="B36" s="410" t="s">
        <v>194</v>
      </c>
      <c r="C36" s="468">
        <f>SUM(D36:E36)</f>
        <v>0</v>
      </c>
      <c r="D36" s="388">
        <f t="shared" si="52"/>
        <v>0</v>
      </c>
      <c r="E36" s="389">
        <f t="shared" si="52"/>
        <v>0</v>
      </c>
      <c r="F36" s="455"/>
      <c r="G36" s="456"/>
      <c r="H36" s="425">
        <f t="shared" ref="H36:AK36" si="53">SUM(H31:H35)</f>
        <v>0</v>
      </c>
      <c r="I36" s="426">
        <f t="shared" si="53"/>
        <v>0</v>
      </c>
      <c r="J36" s="425">
        <f t="shared" si="53"/>
        <v>0</v>
      </c>
      <c r="K36" s="426">
        <f t="shared" si="53"/>
        <v>0</v>
      </c>
      <c r="L36" s="425">
        <f t="shared" si="53"/>
        <v>0</v>
      </c>
      <c r="M36" s="428">
        <f t="shared" si="53"/>
        <v>0</v>
      </c>
      <c r="N36" s="429">
        <f t="shared" si="53"/>
        <v>0</v>
      </c>
      <c r="O36" s="428">
        <f t="shared" si="53"/>
        <v>0</v>
      </c>
      <c r="P36" s="429">
        <f t="shared" si="53"/>
        <v>0</v>
      </c>
      <c r="Q36" s="426">
        <f t="shared" si="53"/>
        <v>0</v>
      </c>
      <c r="R36" s="425">
        <f t="shared" si="53"/>
        <v>0</v>
      </c>
      <c r="S36" s="426">
        <f t="shared" si="53"/>
        <v>0</v>
      </c>
      <c r="T36" s="425">
        <f t="shared" si="53"/>
        <v>0</v>
      </c>
      <c r="U36" s="426">
        <f t="shared" si="53"/>
        <v>0</v>
      </c>
      <c r="V36" s="425">
        <f t="shared" si="53"/>
        <v>0</v>
      </c>
      <c r="W36" s="428">
        <f t="shared" si="53"/>
        <v>0</v>
      </c>
      <c r="X36" s="429">
        <f t="shared" si="53"/>
        <v>0</v>
      </c>
      <c r="Y36" s="428">
        <f t="shared" si="53"/>
        <v>0</v>
      </c>
      <c r="Z36" s="429">
        <f t="shared" si="53"/>
        <v>0</v>
      </c>
      <c r="AA36" s="426">
        <f t="shared" si="53"/>
        <v>0</v>
      </c>
      <c r="AB36" s="425">
        <f t="shared" si="53"/>
        <v>0</v>
      </c>
      <c r="AC36" s="430">
        <f t="shared" si="53"/>
        <v>0</v>
      </c>
      <c r="AD36" s="431">
        <f t="shared" si="53"/>
        <v>0</v>
      </c>
      <c r="AE36" s="428">
        <f t="shared" si="53"/>
        <v>0</v>
      </c>
      <c r="AF36" s="425">
        <f t="shared" si="53"/>
        <v>0</v>
      </c>
      <c r="AG36" s="426">
        <f t="shared" si="53"/>
        <v>0</v>
      </c>
      <c r="AH36" s="432">
        <f t="shared" si="53"/>
        <v>0</v>
      </c>
      <c r="AI36" s="429">
        <f t="shared" si="53"/>
        <v>0</v>
      </c>
      <c r="AJ36" s="429">
        <f t="shared" si="53"/>
        <v>0</v>
      </c>
      <c r="AK36" s="428">
        <f t="shared" si="53"/>
        <v>0</v>
      </c>
      <c r="AL36" s="381" t="str">
        <f>($CD36&amp;CE36)</f>
        <v/>
      </c>
      <c r="AM36" s="346"/>
      <c r="AN36" s="346"/>
      <c r="AO36" s="346"/>
      <c r="AP36" s="346"/>
      <c r="AQ36" s="346"/>
      <c r="AR36" s="346"/>
      <c r="AS36" s="346"/>
      <c r="AT36" s="346"/>
      <c r="AU36" s="346"/>
      <c r="AV36" s="346"/>
      <c r="BF36" s="5"/>
      <c r="BG36" s="5"/>
      <c r="BH36" s="5"/>
      <c r="BI36" s="5"/>
      <c r="BJ36" s="5"/>
      <c r="BK36" s="5"/>
      <c r="BL36" s="5"/>
      <c r="BM36" s="5"/>
      <c r="BN36" s="5"/>
      <c r="BR36" s="346"/>
      <c r="BS36" s="346"/>
      <c r="CC36" s="382"/>
      <c r="CD36" s="290"/>
      <c r="CE36" s="290"/>
      <c r="CF36" s="290"/>
      <c r="CG36" s="290"/>
      <c r="CH36" s="290"/>
      <c r="CI36" s="290"/>
      <c r="CJ36" s="290"/>
      <c r="CK36" s="290"/>
      <c r="CL36" s="290"/>
      <c r="CM36" s="290"/>
      <c r="CN36" s="355"/>
      <c r="CO36" s="355"/>
      <c r="CP36" s="355"/>
      <c r="CQ36" s="355"/>
      <c r="CR36" s="355"/>
      <c r="CS36" s="355"/>
      <c r="CT36" s="355"/>
      <c r="CU36" s="355"/>
      <c r="CV36" s="355"/>
      <c r="CW36" s="355"/>
      <c r="CX36" s="355"/>
      <c r="CY36" s="355"/>
      <c r="CZ36" s="355"/>
      <c r="DA36" s="355"/>
      <c r="DB36" s="355"/>
      <c r="DC36" s="355"/>
      <c r="DD36" s="142"/>
      <c r="DE36" s="142"/>
      <c r="DF36" s="142"/>
      <c r="DG36" s="142"/>
      <c r="DH36" s="142"/>
      <c r="DI36" s="142"/>
      <c r="DJ36" s="142"/>
      <c r="DK36" s="142"/>
      <c r="DL36" s="142"/>
      <c r="DM36" s="142"/>
      <c r="DN36" s="142"/>
      <c r="DO36" s="142"/>
      <c r="DP36" s="142"/>
      <c r="DQ36" s="142"/>
      <c r="DR36" s="142"/>
      <c r="DS36" s="142"/>
      <c r="DT36" s="142"/>
      <c r="DU36" s="142"/>
      <c r="DV36" s="142"/>
    </row>
    <row r="37" spans="1:126" ht="27.75" customHeight="1">
      <c r="A37" s="1787"/>
      <c r="B37" s="469" t="s">
        <v>195</v>
      </c>
      <c r="C37" s="468">
        <f>SUM(D37:E37)</f>
        <v>0</v>
      </c>
      <c r="D37" s="388">
        <f t="shared" si="52"/>
        <v>0</v>
      </c>
      <c r="E37" s="389">
        <f t="shared" si="52"/>
        <v>0</v>
      </c>
      <c r="F37" s="455"/>
      <c r="G37" s="456"/>
      <c r="H37" s="434"/>
      <c r="I37" s="437"/>
      <c r="J37" s="434"/>
      <c r="K37" s="437"/>
      <c r="L37" s="373"/>
      <c r="M37" s="437"/>
      <c r="N37" s="380"/>
      <c r="O37" s="437"/>
      <c r="P37" s="380"/>
      <c r="Q37" s="394"/>
      <c r="R37" s="434"/>
      <c r="S37" s="437"/>
      <c r="T37" s="434"/>
      <c r="U37" s="437"/>
      <c r="V37" s="373"/>
      <c r="W37" s="437"/>
      <c r="X37" s="380"/>
      <c r="Y37" s="437"/>
      <c r="Z37" s="380"/>
      <c r="AA37" s="394"/>
      <c r="AB37" s="434"/>
      <c r="AC37" s="436"/>
      <c r="AD37" s="377"/>
      <c r="AE37" s="392"/>
      <c r="AF37" s="434"/>
      <c r="AG37" s="437"/>
      <c r="AH37" s="470"/>
      <c r="AI37" s="466"/>
      <c r="AJ37" s="466"/>
      <c r="AK37" s="467"/>
      <c r="AL37" s="381" t="str">
        <f>($CU37&amp;CV37&amp;CW37&amp;CX37)</f>
        <v/>
      </c>
      <c r="AM37" s="346"/>
      <c r="AN37" s="346"/>
      <c r="AO37" s="346"/>
      <c r="AP37" s="346"/>
      <c r="AQ37" s="346"/>
      <c r="AR37" s="346"/>
      <c r="AS37" s="346"/>
      <c r="AU37" s="346"/>
      <c r="AV37" s="346"/>
      <c r="BF37" s="5"/>
      <c r="BG37" s="5"/>
      <c r="BH37" s="5"/>
      <c r="BI37" s="5"/>
      <c r="BJ37" s="5"/>
      <c r="BK37" s="5"/>
      <c r="BL37" s="5"/>
      <c r="BM37" s="5"/>
      <c r="BN37" s="5"/>
      <c r="BR37" s="346"/>
      <c r="BS37" s="346"/>
      <c r="CC37" s="382"/>
      <c r="CD37" s="290"/>
      <c r="CE37" s="290"/>
      <c r="CF37" s="290"/>
      <c r="CG37" s="290"/>
      <c r="CH37" s="290"/>
      <c r="CI37" s="290"/>
      <c r="CJ37" s="290"/>
      <c r="CK37" s="290"/>
      <c r="CL37" s="290"/>
      <c r="CM37" s="290"/>
      <c r="CN37" s="355"/>
      <c r="CO37" s="355"/>
      <c r="CP37" s="355"/>
      <c r="CQ37" s="355"/>
      <c r="CR37" s="355"/>
      <c r="CS37" s="355"/>
      <c r="CT37" s="355"/>
      <c r="CU37" s="383" t="str">
        <f t="shared" si="2"/>
        <v/>
      </c>
      <c r="CV37" s="383" t="str">
        <f>IF(AND(E37&gt;0,OR(AI37=""))," * No olvide digitar la variable Pueblos Originarios Mujeres (Digite Cero si no tiene).",IF(AI37&gt;E37," * La variable Pueblos Originarios Mujeres no puede ser Mayor al Total Mujeres.",""))</f>
        <v/>
      </c>
      <c r="CW37" s="383" t="str">
        <f t="shared" ref="CW37" si="54">IF(AND(D37&gt;0,OR(AJ37=""))," * No olvide digitar la variable Migrantes Hombres (Digite Cero si no tiene).",IF(AJ37&gt;D37," * La variable Migrantes Hombres no puede ser Mayor al Total.",""))</f>
        <v/>
      </c>
      <c r="CX37" s="383" t="str">
        <f t="shared" ref="CX37" si="55">IF(AND(E37&gt;0,OR(AK37=""))," * No olvide digitar la variable Migrantes Mujeres (Digite Cero si no tiene).",IF(AK37&gt;E37," * La variable Migrantes Mujeres no puede ser Mayor al Total.",""))</f>
        <v/>
      </c>
      <c r="CY37" s="355"/>
      <c r="CZ37" s="355"/>
      <c r="DA37" s="355"/>
      <c r="DB37" s="355"/>
      <c r="DC37" s="355"/>
      <c r="DD37" s="142"/>
      <c r="DE37" s="142"/>
      <c r="DF37" s="142"/>
      <c r="DG37" s="142"/>
      <c r="DH37" s="142"/>
      <c r="DI37" s="142"/>
      <c r="DJ37" s="142"/>
      <c r="DK37" s="142"/>
      <c r="DL37" s="142"/>
      <c r="DM37" s="142"/>
      <c r="DN37" s="142"/>
      <c r="DO37" s="142"/>
      <c r="DP37" s="142"/>
      <c r="DQ37" s="385">
        <f t="shared" ref="DQ37:DR37" si="56">IF(AND(D37&gt;0,OR(AH37="")),1,IF(AH37&gt;D37,1,0))</f>
        <v>0</v>
      </c>
      <c r="DR37" s="385">
        <f t="shared" si="56"/>
        <v>0</v>
      </c>
      <c r="DS37" s="385">
        <f t="shared" ref="DS37:DT37" si="57">IF(AND(D37&gt;0,OR(AJ37="")),1,IF(AJ37&gt;D37,1,0))</f>
        <v>0</v>
      </c>
      <c r="DT37" s="385">
        <f t="shared" si="57"/>
        <v>0</v>
      </c>
      <c r="DU37" s="142"/>
      <c r="DV37" s="142"/>
    </row>
    <row r="38" spans="1:126" ht="27.65" customHeight="1">
      <c r="A38" s="1789"/>
      <c r="B38" s="471" t="s">
        <v>5</v>
      </c>
      <c r="C38" s="472">
        <f t="shared" si="0"/>
        <v>0</v>
      </c>
      <c r="D38" s="473">
        <f t="shared" si="52"/>
        <v>0</v>
      </c>
      <c r="E38" s="474">
        <f t="shared" si="52"/>
        <v>0</v>
      </c>
      <c r="F38" s="455"/>
      <c r="G38" s="456"/>
      <c r="H38" s="425">
        <f t="shared" ref="H38:AK38" si="58">SUM(H31:H35)+H37</f>
        <v>0</v>
      </c>
      <c r="I38" s="428">
        <f t="shared" si="58"/>
        <v>0</v>
      </c>
      <c r="J38" s="425">
        <f t="shared" si="58"/>
        <v>0</v>
      </c>
      <c r="K38" s="428">
        <f t="shared" si="58"/>
        <v>0</v>
      </c>
      <c r="L38" s="425">
        <f t="shared" si="58"/>
        <v>0</v>
      </c>
      <c r="M38" s="428">
        <f t="shared" si="58"/>
        <v>0</v>
      </c>
      <c r="N38" s="413">
        <f t="shared" si="58"/>
        <v>0</v>
      </c>
      <c r="O38" s="414">
        <f t="shared" si="58"/>
        <v>0</v>
      </c>
      <c r="P38" s="413">
        <f t="shared" si="58"/>
        <v>0</v>
      </c>
      <c r="Q38" s="474">
        <f t="shared" si="58"/>
        <v>0</v>
      </c>
      <c r="R38" s="412">
        <f t="shared" si="58"/>
        <v>0</v>
      </c>
      <c r="S38" s="474">
        <f t="shared" si="58"/>
        <v>0</v>
      </c>
      <c r="T38" s="412">
        <f t="shared" si="58"/>
        <v>0</v>
      </c>
      <c r="U38" s="474">
        <f t="shared" si="58"/>
        <v>0</v>
      </c>
      <c r="V38" s="412">
        <f t="shared" si="58"/>
        <v>0</v>
      </c>
      <c r="W38" s="414">
        <f t="shared" si="58"/>
        <v>0</v>
      </c>
      <c r="X38" s="413">
        <f t="shared" si="58"/>
        <v>0</v>
      </c>
      <c r="Y38" s="414">
        <f t="shared" si="58"/>
        <v>0</v>
      </c>
      <c r="Z38" s="413">
        <f t="shared" si="58"/>
        <v>0</v>
      </c>
      <c r="AA38" s="474">
        <f t="shared" si="58"/>
        <v>0</v>
      </c>
      <c r="AB38" s="412">
        <f t="shared" si="58"/>
        <v>0</v>
      </c>
      <c r="AC38" s="422">
        <f t="shared" si="58"/>
        <v>0</v>
      </c>
      <c r="AD38" s="416">
        <f t="shared" si="58"/>
        <v>0</v>
      </c>
      <c r="AE38" s="414">
        <f t="shared" si="58"/>
        <v>0</v>
      </c>
      <c r="AF38" s="412">
        <f t="shared" si="58"/>
        <v>0</v>
      </c>
      <c r="AG38" s="474">
        <f t="shared" si="58"/>
        <v>0</v>
      </c>
      <c r="AH38" s="417">
        <f t="shared" si="58"/>
        <v>0</v>
      </c>
      <c r="AI38" s="413">
        <f t="shared" si="58"/>
        <v>0</v>
      </c>
      <c r="AJ38" s="413">
        <f t="shared" si="58"/>
        <v>0</v>
      </c>
      <c r="AK38" s="414">
        <f t="shared" si="58"/>
        <v>0</v>
      </c>
      <c r="AL38" s="381" t="str">
        <f>($CD38&amp;CE38)</f>
        <v/>
      </c>
      <c r="AM38" s="346"/>
      <c r="AN38" s="346"/>
      <c r="AO38" s="346"/>
      <c r="AP38" s="346"/>
      <c r="AQ38" s="346"/>
      <c r="AR38" s="346"/>
      <c r="AS38" s="346"/>
      <c r="AT38" s="346"/>
      <c r="AU38" s="346"/>
      <c r="AV38" s="346"/>
      <c r="BF38" s="5"/>
      <c r="BG38" s="5"/>
      <c r="BH38" s="5"/>
      <c r="BI38" s="5"/>
      <c r="BJ38" s="5"/>
      <c r="BK38" s="5"/>
      <c r="BL38" s="5"/>
      <c r="BM38" s="5"/>
      <c r="BN38" s="5"/>
      <c r="BR38" s="346"/>
      <c r="BS38" s="346"/>
      <c r="CC38" s="382"/>
      <c r="CD38" s="290"/>
      <c r="CE38" s="290"/>
      <c r="CF38" s="290"/>
      <c r="CG38" s="290"/>
      <c r="CH38" s="290"/>
      <c r="CI38" s="290"/>
      <c r="CJ38" s="290"/>
      <c r="CK38" s="290"/>
      <c r="CL38" s="290"/>
      <c r="CM38" s="290"/>
      <c r="CN38" s="355"/>
      <c r="CO38" s="355"/>
      <c r="CP38" s="355"/>
      <c r="CQ38" s="355"/>
      <c r="CR38" s="355"/>
      <c r="CS38" s="355"/>
      <c r="CT38" s="355"/>
      <c r="CU38" s="355"/>
      <c r="CV38" s="355"/>
      <c r="CW38" s="355"/>
      <c r="CX38" s="355"/>
      <c r="CY38" s="355"/>
      <c r="CZ38" s="355"/>
      <c r="DA38" s="355"/>
      <c r="DB38" s="355"/>
      <c r="DC38" s="355"/>
      <c r="DD38" s="142"/>
      <c r="DE38" s="142"/>
      <c r="DF38" s="142"/>
      <c r="DG38" s="142"/>
      <c r="DH38" s="142"/>
      <c r="DI38" s="142"/>
      <c r="DJ38" s="142"/>
      <c r="DK38" s="142"/>
      <c r="DL38" s="142"/>
      <c r="DM38" s="142"/>
      <c r="DN38" s="142"/>
      <c r="DO38" s="142"/>
      <c r="DP38" s="142"/>
      <c r="DQ38" s="142"/>
      <c r="DR38" s="142"/>
      <c r="DS38" s="142"/>
      <c r="DT38" s="142"/>
      <c r="DU38" s="142"/>
      <c r="DV38" s="142"/>
    </row>
    <row r="39" spans="1:126" ht="21.75" customHeight="1">
      <c r="A39" s="1875" t="s">
        <v>196</v>
      </c>
      <c r="B39" s="1876"/>
      <c r="C39" s="443">
        <f>SUM(D39:E39)</f>
        <v>0</v>
      </c>
      <c r="D39" s="367">
        <f t="shared" ref="D39:E39" si="59">+F39+H39+J39+L39+N39+P39+R39+T39+V39+X39+Z39+AB39+AD39+AF39</f>
        <v>0</v>
      </c>
      <c r="E39" s="368">
        <f t="shared" si="59"/>
        <v>0</v>
      </c>
      <c r="F39" s="373"/>
      <c r="G39" s="444"/>
      <c r="H39" s="373"/>
      <c r="I39" s="374"/>
      <c r="J39" s="373"/>
      <c r="K39" s="374"/>
      <c r="L39" s="373"/>
      <c r="M39" s="374"/>
      <c r="N39" s="380"/>
      <c r="O39" s="374"/>
      <c r="P39" s="380"/>
      <c r="Q39" s="380"/>
      <c r="R39" s="373"/>
      <c r="S39" s="374"/>
      <c r="T39" s="373"/>
      <c r="U39" s="374"/>
      <c r="V39" s="373"/>
      <c r="W39" s="374"/>
      <c r="X39" s="380"/>
      <c r="Y39" s="374"/>
      <c r="Z39" s="380"/>
      <c r="AA39" s="380"/>
      <c r="AB39" s="373"/>
      <c r="AC39" s="445"/>
      <c r="AD39" s="377"/>
      <c r="AE39" s="374"/>
      <c r="AF39" s="373"/>
      <c r="AG39" s="374"/>
      <c r="AH39" s="378"/>
      <c r="AI39" s="380"/>
      <c r="AJ39" s="380"/>
      <c r="AK39" s="374"/>
      <c r="AL39" s="381" t="str">
        <f>($CU39&amp;CV39&amp;CW39&amp;CX39)</f>
        <v/>
      </c>
      <c r="AM39" s="346"/>
      <c r="AN39" s="346"/>
      <c r="AO39" s="346"/>
      <c r="AP39" s="346"/>
      <c r="AQ39" s="346"/>
      <c r="AR39" s="346"/>
      <c r="AS39" s="346"/>
      <c r="AT39" s="346"/>
      <c r="AU39" s="346"/>
      <c r="AV39" s="346"/>
      <c r="BF39" s="5"/>
      <c r="BG39" s="5"/>
      <c r="BH39" s="5"/>
      <c r="BI39" s="5"/>
      <c r="BJ39" s="5"/>
      <c r="BK39" s="5"/>
      <c r="BL39" s="5"/>
      <c r="BM39" s="5"/>
      <c r="BN39" s="5"/>
      <c r="BR39" s="346"/>
      <c r="BS39" s="346"/>
      <c r="CC39" s="382"/>
      <c r="CD39" s="290"/>
      <c r="CE39" s="290"/>
      <c r="CF39" s="290"/>
      <c r="CG39" s="290"/>
      <c r="CH39" s="290"/>
      <c r="CI39" s="290"/>
      <c r="CJ39" s="290"/>
      <c r="CK39" s="290"/>
      <c r="CL39" s="290"/>
      <c r="CM39" s="290"/>
      <c r="CN39" s="355"/>
      <c r="CO39" s="355"/>
      <c r="CP39" s="355"/>
      <c r="CQ39" s="355"/>
      <c r="CR39" s="355"/>
      <c r="CS39" s="355"/>
      <c r="CT39" s="355"/>
      <c r="CU39" s="383" t="str">
        <f t="shared" si="2"/>
        <v/>
      </c>
      <c r="CV39" s="383" t="str">
        <f>IF(AND(E39&gt;0,OR(AI39=""))," * No olvide digitar la variable Pueblos Originarios Mujeres (Digite Cero si no tiene).",IF(AI39&gt;E39," * La variable Pueblos Originarios Mujeres no puede ser Mayor al Total Mujeres.",""))</f>
        <v/>
      </c>
      <c r="CW39" s="383" t="str">
        <f>IF(AND(D39&gt;0,OR(AJ39=""))," * No olvide digitar la variable Migrantes Hombres (Digite Cero si no tiene).",IF(AJ39&gt;D39," * La variable Migrantes Hombres no puede ser Mayor al Total.",""))</f>
        <v/>
      </c>
      <c r="CX39" s="383" t="str">
        <f t="shared" ref="CX39" si="60">IF(AND(E39&gt;0,OR(AK39=""))," * No olvide digitar la variable Migrantes Mujeres (Digite Cero si no tiene).",IF(AK39&gt;E39," * La variable Migrantes Mujeres no puede ser Mayor al Total.",""))</f>
        <v/>
      </c>
      <c r="CY39" s="355"/>
      <c r="CZ39" s="355"/>
      <c r="DA39" s="355"/>
      <c r="DB39" s="355"/>
      <c r="DC39" s="355"/>
      <c r="DD39" s="142"/>
      <c r="DE39" s="142"/>
      <c r="DF39" s="142"/>
      <c r="DG39" s="142"/>
      <c r="DH39" s="142"/>
      <c r="DI39" s="142"/>
      <c r="DJ39" s="142"/>
      <c r="DK39" s="142"/>
      <c r="DL39" s="142"/>
      <c r="DM39" s="142"/>
      <c r="DN39" s="142"/>
      <c r="DO39" s="142"/>
      <c r="DP39" s="142"/>
      <c r="DQ39" s="385">
        <f t="shared" ref="DQ39:DR39" si="61">IF(AND(D39&gt;0,OR(AH39="")),1,IF(AH39&gt;D39,1,0))</f>
        <v>0</v>
      </c>
      <c r="DR39" s="385">
        <f t="shared" si="61"/>
        <v>0</v>
      </c>
      <c r="DS39" s="385">
        <f t="shared" ref="DS39:DT39" si="62">IF(AND(D39&gt;0,OR(AJ39="")),1,IF(AJ39&gt;D39,1,0))</f>
        <v>0</v>
      </c>
      <c r="DT39" s="385">
        <f t="shared" si="62"/>
        <v>0</v>
      </c>
      <c r="DU39" s="142"/>
      <c r="DV39" s="142"/>
    </row>
    <row r="40" spans="1:126" ht="30" customHeight="1">
      <c r="A40" s="1888" t="s">
        <v>342</v>
      </c>
      <c r="B40" s="1888"/>
      <c r="C40" s="1888"/>
      <c r="D40" s="1888"/>
      <c r="E40" s="1888"/>
      <c r="F40" s="1888"/>
      <c r="G40" s="1888"/>
      <c r="H40" s="1888"/>
      <c r="I40" s="1888"/>
      <c r="J40" s="1888"/>
      <c r="K40" s="1888"/>
      <c r="L40" s="1889"/>
      <c r="M40" s="1889"/>
      <c r="N40" s="475"/>
      <c r="O40" s="475"/>
      <c r="P40" s="475"/>
      <c r="Q40" s="475"/>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5"/>
      <c r="AX40" s="5"/>
      <c r="AY40" s="5"/>
      <c r="AZ40" s="5"/>
      <c r="BA40" s="5"/>
      <c r="BB40" s="5"/>
      <c r="BC40" s="5"/>
      <c r="BD40" s="5"/>
      <c r="BE40" s="5"/>
      <c r="BF40" s="5"/>
      <c r="BG40" s="5"/>
      <c r="BH40" s="5"/>
      <c r="BI40" s="5"/>
      <c r="BJ40" s="5"/>
      <c r="BK40" s="5"/>
      <c r="BL40" s="5"/>
      <c r="BM40" s="5"/>
      <c r="BN40" s="5"/>
      <c r="BO40" s="5"/>
      <c r="BP40" s="5"/>
      <c r="BQ40" s="5"/>
      <c r="CA40" s="476"/>
    </row>
    <row r="41" spans="1:126" ht="27.75" customHeight="1">
      <c r="A41" s="1758" t="s">
        <v>162</v>
      </c>
      <c r="B41" s="1759"/>
      <c r="C41" s="1890" t="s">
        <v>5</v>
      </c>
      <c r="D41" s="1890"/>
      <c r="E41" s="1891"/>
      <c r="F41" s="1770" t="s">
        <v>197</v>
      </c>
      <c r="G41" s="1771"/>
      <c r="H41" s="1771"/>
      <c r="I41" s="1771"/>
      <c r="J41" s="1771"/>
      <c r="K41" s="1771"/>
      <c r="L41" s="1771"/>
      <c r="M41" s="1771"/>
      <c r="N41" s="1771"/>
      <c r="O41" s="1771"/>
      <c r="P41" s="1771"/>
      <c r="Q41" s="1771"/>
      <c r="R41" s="1771"/>
      <c r="S41" s="1892"/>
      <c r="T41" s="7"/>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R41" s="346"/>
      <c r="BS41" s="346"/>
      <c r="BT41" s="346"/>
      <c r="BU41" s="346"/>
      <c r="BV41" s="346"/>
      <c r="BW41" s="346"/>
    </row>
    <row r="42" spans="1:126" ht="24" customHeight="1">
      <c r="A42" s="1760"/>
      <c r="B42" s="1761"/>
      <c r="C42" s="1768"/>
      <c r="D42" s="1768"/>
      <c r="E42" s="1769"/>
      <c r="F42" s="1756" t="s">
        <v>198</v>
      </c>
      <c r="G42" s="1757"/>
      <c r="H42" s="1756" t="s">
        <v>199</v>
      </c>
      <c r="I42" s="1757"/>
      <c r="J42" s="1756" t="s">
        <v>200</v>
      </c>
      <c r="K42" s="1757"/>
      <c r="L42" s="1756" t="s">
        <v>201</v>
      </c>
      <c r="M42" s="1757"/>
      <c r="N42" s="1756" t="s">
        <v>202</v>
      </c>
      <c r="O42" s="1757"/>
      <c r="P42" s="1895" t="s">
        <v>7</v>
      </c>
      <c r="Q42" s="1896"/>
      <c r="R42" s="1722" t="s">
        <v>58</v>
      </c>
      <c r="S42" s="1897"/>
      <c r="T42" s="7"/>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R42" s="346"/>
      <c r="BS42" s="346"/>
      <c r="BT42" s="346"/>
      <c r="BU42" s="346"/>
      <c r="BV42" s="346"/>
      <c r="BW42" s="346"/>
    </row>
    <row r="43" spans="1:126" ht="32.25" customHeight="1">
      <c r="A43" s="1762"/>
      <c r="B43" s="1763"/>
      <c r="C43" s="477" t="s">
        <v>178</v>
      </c>
      <c r="D43" s="359" t="s">
        <v>42</v>
      </c>
      <c r="E43" s="360" t="s">
        <v>179</v>
      </c>
      <c r="F43" s="478" t="s">
        <v>42</v>
      </c>
      <c r="G43" s="479" t="s">
        <v>179</v>
      </c>
      <c r="H43" s="478" t="s">
        <v>42</v>
      </c>
      <c r="I43" s="361" t="s">
        <v>179</v>
      </c>
      <c r="J43" s="480" t="s">
        <v>42</v>
      </c>
      <c r="K43" s="361" t="s">
        <v>179</v>
      </c>
      <c r="L43" s="480" t="s">
        <v>42</v>
      </c>
      <c r="M43" s="361" t="s">
        <v>179</v>
      </c>
      <c r="N43" s="480" t="s">
        <v>42</v>
      </c>
      <c r="O43" s="481" t="s">
        <v>179</v>
      </c>
      <c r="P43" s="482" t="s">
        <v>42</v>
      </c>
      <c r="Q43" s="483" t="s">
        <v>179</v>
      </c>
      <c r="R43" s="484" t="s">
        <v>42</v>
      </c>
      <c r="S43" s="360" t="s">
        <v>179</v>
      </c>
      <c r="T43" s="7"/>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R43" s="346"/>
      <c r="BS43" s="346"/>
      <c r="BT43" s="346"/>
      <c r="BU43" s="346"/>
      <c r="BV43" s="346"/>
      <c r="BW43" s="346"/>
    </row>
    <row r="44" spans="1:126" ht="23.25" customHeight="1">
      <c r="A44" s="1886" t="s">
        <v>203</v>
      </c>
      <c r="B44" s="1887"/>
      <c r="C44" s="485">
        <f>+D44+E44</f>
        <v>0</v>
      </c>
      <c r="D44" s="367">
        <f>+F44+H44+J44+L44+N44</f>
        <v>0</v>
      </c>
      <c r="E44" s="366">
        <f>+G44+I44+K44+M44+O44</f>
        <v>0</v>
      </c>
      <c r="F44" s="390"/>
      <c r="G44" s="392"/>
      <c r="H44" s="390"/>
      <c r="I44" s="392"/>
      <c r="J44" s="394"/>
      <c r="K44" s="392"/>
      <c r="L44" s="394"/>
      <c r="M44" s="392"/>
      <c r="N44" s="394"/>
      <c r="O44" s="393"/>
      <c r="P44" s="397"/>
      <c r="Q44" s="398"/>
      <c r="R44" s="394"/>
      <c r="S44" s="392"/>
      <c r="T44" s="486" t="s">
        <v>204</v>
      </c>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R44" s="346"/>
      <c r="BS44" s="346"/>
      <c r="BT44" s="346"/>
      <c r="BU44" s="346"/>
      <c r="BV44" s="346"/>
      <c r="BW44" s="346"/>
      <c r="BY44" s="6"/>
      <c r="BZ44" s="6"/>
      <c r="CA44" s="290"/>
      <c r="CB44" s="383" t="str">
        <f>IF(F44+G44&lt;&gt;F72+G72,"* El Total de niños en control de 60 a 71 meses no debe ser distinto al total del Diagnóstico Nutricional Integrado. ","")</f>
        <v/>
      </c>
      <c r="CC44" s="383" t="str">
        <f>IF(H44+I44&lt;&gt;H72+I72,"* El Total de niñas en control de 6 a 6 años 11 meses no debe ser distinto al total del Diagnóstico Nutricional Integrado. ","")</f>
        <v/>
      </c>
      <c r="CD44" s="383" t="str">
        <f>IF(J44+K44&lt;&gt;J72+K72,"* El Total de niños en control de 7 a 7 años 11 meses no debe ser distinto al total del Diagnóstico Nutricional Integrado. ","")</f>
        <v/>
      </c>
      <c r="CE44" s="383" t="str">
        <f>IF(L44+M44&lt;&gt;L72+M72,"* El Total de niñas en control de 8 a 8 años 11 meses no debe ser distinto al total del Diagnóstico Nutricional Integrado. ","")</f>
        <v/>
      </c>
      <c r="CF44" s="383" t="str">
        <f>IF(N44+O44&lt;&gt;N72+O72,"* El Total de niñas en control de 9 a 9 años 11 meses no debe ser distinto al total del Diagnóstico Nutricional Integrado. ","")</f>
        <v/>
      </c>
      <c r="CG44" s="383" t="str">
        <f>IF(AND(D44&gt;0,OR(P44=""))," * No olvide digitar la variable Pueblos Originarios Hombres (Digite Cero si no tiene).",IF(P44&gt;D44," * La variable Pueblos Originarios Hombres no puede ser Mayor al Total Hombres.",""))</f>
        <v/>
      </c>
      <c r="CH44" s="383" t="str">
        <f>IF(AND(E44&gt;0,OR(Q44=""))," * No olvide digitar la variable Pueblos Originarios Mujeres (Digite Cero si no tiene).",IF(Q44&gt;E44," * La variable Pueblos Originarios Mujeres no puede ser Mayor al Total Mujeres.",""))</f>
        <v/>
      </c>
      <c r="CI44" s="383" t="str">
        <f>IF(AND(D44&gt;0,OR(R44=""))," * No olvide digitar la variable Migrantes Hombres (Digite Cero si no tiene).",IF(R44&gt;D44," * La variable Migrantes Hombres no puede ser Mayor al Total Hombres.",""))</f>
        <v/>
      </c>
      <c r="CJ44" s="383" t="str">
        <f>IF(AND(E44&gt;0,OR(S44=""))," * No olvide digitar la variable Migrantes Mujeres (Digite Cero si no tiene).",IF(S44&gt;E44," * La variable Migrantes Mujeres no puede ser Mayor al Total Mujeres.",""))</f>
        <v/>
      </c>
      <c r="CK44" s="384" t="str">
        <f>IF($P$44+$Q$44&lt;&gt;$P$72+$Q$72,"* El Total de niños (as) en Control de Población Migrantes debe ser igual al Total de niños (as) según Diagnóstico Nutricional Integrado. ","")</f>
        <v/>
      </c>
      <c r="CL44" s="384" t="str">
        <f>IF($R$44+$S$44&lt;&gt;$R$72+$S$72,"* El Total de niños (as) en Control de Población Migrantes debe ser igual al Total de niños (as) según Diagnóstico Nutricional Integrado. ","")</f>
        <v/>
      </c>
      <c r="CM44" s="355"/>
      <c r="CN44" s="355"/>
      <c r="CO44" s="355"/>
      <c r="CP44" s="355"/>
      <c r="CQ44" s="355"/>
      <c r="CR44" s="355"/>
      <c r="CS44" s="355"/>
      <c r="CT44" s="355"/>
      <c r="CU44" s="355"/>
      <c r="CV44" s="355"/>
      <c r="CW44" s="355"/>
      <c r="CX44" s="355"/>
      <c r="CY44" s="355"/>
      <c r="CZ44" s="355"/>
      <c r="DA44" s="355"/>
      <c r="DB44" s="355"/>
      <c r="DC44" s="355"/>
      <c r="DD44" s="385">
        <f>IF(F44+G44&lt;&gt;F72+G72,1,0)</f>
        <v>0</v>
      </c>
      <c r="DE44" s="385">
        <f>IF(H44+I44&lt;&gt;H72+I72,1,0)</f>
        <v>0</v>
      </c>
      <c r="DF44" s="385">
        <f>IF(J44+K44&lt;&gt;J72+K72,1,0)</f>
        <v>0</v>
      </c>
      <c r="DG44" s="385">
        <f>IF(L44+M44&lt;&gt;L72+M72,1,0)</f>
        <v>0</v>
      </c>
      <c r="DH44" s="385">
        <f>IF(N44+O44&lt;&gt;N72+O72,1,0)</f>
        <v>0</v>
      </c>
      <c r="DI44" s="385">
        <f>IF(AND(D44&gt;0,OR(P44="")),1,IF(P44&gt;D44,1,0))</f>
        <v>0</v>
      </c>
      <c r="DJ44" s="385">
        <f>IF(AND(E44&gt;0,OR(Q44="")),1,IF(Q44&gt;E44,1,0))</f>
        <v>0</v>
      </c>
      <c r="DK44" s="385">
        <f>IF(AND(D44&gt;0,OR(R44="")),1,IF(R44&gt;D44,1,0))</f>
        <v>0</v>
      </c>
      <c r="DL44" s="385">
        <f>IF(AND(E44&gt;0,OR(S44="")),1,IF(S44&gt;E44,1,0))</f>
        <v>0</v>
      </c>
      <c r="DM44" s="487">
        <f>IF($P$44+$Q$44&lt;&gt;$P$72+$Q$72,1,0)</f>
        <v>0</v>
      </c>
      <c r="DN44" s="487">
        <f>IF($R$44+$S$44&lt;&gt;$R$72+$S$72,1,0)</f>
        <v>0</v>
      </c>
      <c r="DO44" s="142"/>
      <c r="DP44" s="142"/>
      <c r="DQ44" s="142"/>
      <c r="DR44" s="142"/>
      <c r="DS44" s="142"/>
      <c r="DT44" s="142"/>
      <c r="DU44" s="142"/>
      <c r="DV44" s="142"/>
    </row>
    <row r="45" spans="1:126" ht="23.25" customHeight="1">
      <c r="A45" s="1837" t="s">
        <v>205</v>
      </c>
      <c r="B45" s="488" t="s">
        <v>206</v>
      </c>
      <c r="C45" s="423">
        <f>+D45+E45</f>
        <v>0</v>
      </c>
      <c r="D45" s="489">
        <f t="shared" ref="D45:E50" si="63">+F45+H45+J45+L45+N45</f>
        <v>0</v>
      </c>
      <c r="E45" s="389">
        <f t="shared" si="63"/>
        <v>0</v>
      </c>
      <c r="F45" s="390"/>
      <c r="G45" s="392"/>
      <c r="H45" s="390"/>
      <c r="I45" s="392"/>
      <c r="J45" s="394"/>
      <c r="K45" s="392"/>
      <c r="L45" s="394"/>
      <c r="M45" s="392"/>
      <c r="N45" s="394"/>
      <c r="O45" s="393"/>
      <c r="P45" s="397"/>
      <c r="Q45" s="398"/>
      <c r="R45" s="394"/>
      <c r="S45" s="392"/>
      <c r="T45" s="486" t="s">
        <v>204</v>
      </c>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R45" s="346"/>
      <c r="BS45" s="346"/>
      <c r="BT45" s="346"/>
      <c r="BU45" s="346"/>
      <c r="BV45" s="346"/>
      <c r="BW45" s="346"/>
      <c r="BY45" s="6"/>
      <c r="BZ45" s="6"/>
      <c r="CA45" s="290"/>
      <c r="CB45" s="290"/>
      <c r="CC45" s="290"/>
      <c r="CD45" s="290"/>
      <c r="CE45" s="290"/>
      <c r="CF45" s="290"/>
      <c r="CG45" s="383" t="str">
        <f t="shared" ref="CG45:CG47" si="64">IF(AND(D45&gt;0,OR(P45=""))," * No olvide digitar la variable Pueblos Originarios Hombres (Digite Cero si no tiene).",IF(P45&gt;D45," * La variable Pueblos Originarios Hombres no puede ser Mayor al Total Hombres.",""))</f>
        <v/>
      </c>
      <c r="CH45" s="383" t="str">
        <f t="shared" ref="CH45:CH47" si="65">IF(AND(E45&gt;0,OR(Q45=""))," * No olvide digitar la variable Pueblos Originarios Mujeres (Digite Cero si no tiene).",IF(Q45&gt;E45," * La variable Pueblos Originarios Mujeres no puede ser Mayor al Total Mujeres.",""))</f>
        <v/>
      </c>
      <c r="CI45" s="383" t="str">
        <f t="shared" ref="CI45:CI47" si="66">IF(AND(D45&gt;0,OR(R45=""))," * No olvide digitar la variable Migrantes Hombres (Digite Cero si no tiene).",IF(R45&gt;D45," * La variable Migrantes Hombres no puede ser Mayor al Total Hombres.",""))</f>
        <v/>
      </c>
      <c r="CJ45" s="383" t="str">
        <f t="shared" ref="CJ45:CJ47" si="67">IF(AND(E45&gt;0,OR(S45=""))," * No olvide digitar la variable Migrantes Mujeres (Digite Cero si no tiene).",IF(S45&gt;E45," * La variable Migrantes Mujeres no puede ser Mayor al Total Mujeres.",""))</f>
        <v/>
      </c>
      <c r="CK45" s="290"/>
      <c r="CL45" s="290"/>
      <c r="CM45" s="290"/>
      <c r="CN45" s="290"/>
      <c r="CO45" s="290"/>
      <c r="CP45" s="290"/>
      <c r="CQ45" s="290"/>
      <c r="CR45" s="290"/>
      <c r="CS45" s="290"/>
      <c r="CT45" s="290"/>
      <c r="CU45" s="290"/>
      <c r="CV45" s="290"/>
      <c r="CW45" s="290"/>
      <c r="CX45" s="290"/>
      <c r="CY45" s="290"/>
      <c r="CZ45" s="290"/>
      <c r="DA45" s="290"/>
      <c r="DB45" s="290"/>
      <c r="DC45" s="290"/>
      <c r="DD45" s="142"/>
      <c r="DE45" s="142"/>
      <c r="DF45" s="142"/>
      <c r="DG45" s="142"/>
      <c r="DH45" s="142"/>
      <c r="DI45" s="385">
        <f t="shared" ref="DI45:DJ47" si="68">IF(AND(D45&gt;0,OR(P45="")),1,IF(P45&gt;D45,1,0))</f>
        <v>0</v>
      </c>
      <c r="DJ45" s="385">
        <f t="shared" si="68"/>
        <v>0</v>
      </c>
      <c r="DK45" s="385">
        <f t="shared" ref="DK45:DL47" si="69">IF(AND(D45&gt;0,OR(R45="")),1,IF(R45&gt;D45,1,0))</f>
        <v>0</v>
      </c>
      <c r="DL45" s="385">
        <f t="shared" si="69"/>
        <v>0</v>
      </c>
      <c r="DM45" s="142"/>
      <c r="DN45" s="142"/>
      <c r="DO45" s="142"/>
      <c r="DP45" s="142"/>
      <c r="DQ45" s="142"/>
      <c r="DR45" s="142"/>
      <c r="DS45" s="142"/>
      <c r="DT45" s="142"/>
      <c r="DU45" s="142"/>
      <c r="DV45" s="142"/>
    </row>
    <row r="46" spans="1:126" ht="23.25" customHeight="1">
      <c r="A46" s="1748"/>
      <c r="B46" s="490" t="s">
        <v>207</v>
      </c>
      <c r="C46" s="452">
        <f t="shared" ref="C46:C71" si="70">+D46+E46</f>
        <v>0</v>
      </c>
      <c r="D46" s="491">
        <f t="shared" si="63"/>
        <v>0</v>
      </c>
      <c r="E46" s="454">
        <f t="shared" si="63"/>
        <v>0</v>
      </c>
      <c r="F46" s="457"/>
      <c r="G46" s="458"/>
      <c r="H46" s="457"/>
      <c r="I46" s="458"/>
      <c r="J46" s="460"/>
      <c r="K46" s="458"/>
      <c r="L46" s="460"/>
      <c r="M46" s="458"/>
      <c r="N46" s="460"/>
      <c r="O46" s="459"/>
      <c r="P46" s="462"/>
      <c r="Q46" s="463"/>
      <c r="R46" s="460"/>
      <c r="S46" s="458"/>
      <c r="T46" s="486" t="s">
        <v>204</v>
      </c>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R46" s="346"/>
      <c r="BS46" s="346"/>
      <c r="BT46" s="346"/>
      <c r="BU46" s="346"/>
      <c r="BV46" s="346"/>
      <c r="BW46" s="346"/>
      <c r="BY46" s="6"/>
      <c r="BZ46" s="6"/>
      <c r="CA46" s="290"/>
      <c r="CB46" s="290"/>
      <c r="CC46" s="290"/>
      <c r="CD46" s="290"/>
      <c r="CE46" s="290"/>
      <c r="CF46" s="290"/>
      <c r="CG46" s="383" t="str">
        <f t="shared" si="64"/>
        <v/>
      </c>
      <c r="CH46" s="383" t="str">
        <f t="shared" si="65"/>
        <v/>
      </c>
      <c r="CI46" s="383" t="str">
        <f t="shared" si="66"/>
        <v/>
      </c>
      <c r="CJ46" s="383" t="str">
        <f t="shared" si="67"/>
        <v/>
      </c>
      <c r="CK46" s="290"/>
      <c r="CL46" s="290"/>
      <c r="CM46" s="290"/>
      <c r="CN46" s="290"/>
      <c r="CO46" s="290"/>
      <c r="CP46" s="290"/>
      <c r="CQ46" s="290"/>
      <c r="CR46" s="290"/>
      <c r="CS46" s="290"/>
      <c r="CT46" s="290"/>
      <c r="CU46" s="290"/>
      <c r="CV46" s="290"/>
      <c r="CW46" s="290"/>
      <c r="CX46" s="290"/>
      <c r="CY46" s="290"/>
      <c r="CZ46" s="290"/>
      <c r="DA46" s="290"/>
      <c r="DB46" s="290"/>
      <c r="DC46" s="290"/>
      <c r="DD46" s="142"/>
      <c r="DE46" s="142"/>
      <c r="DF46" s="142"/>
      <c r="DG46" s="142"/>
      <c r="DH46" s="142"/>
      <c r="DI46" s="385">
        <f t="shared" si="68"/>
        <v>0</v>
      </c>
      <c r="DJ46" s="385">
        <f t="shared" si="68"/>
        <v>0</v>
      </c>
      <c r="DK46" s="385">
        <f t="shared" si="69"/>
        <v>0</v>
      </c>
      <c r="DL46" s="385">
        <f t="shared" si="69"/>
        <v>0</v>
      </c>
      <c r="DM46" s="142"/>
      <c r="DN46" s="142"/>
      <c r="DO46" s="142"/>
      <c r="DP46" s="142"/>
      <c r="DQ46" s="142"/>
      <c r="DR46" s="142"/>
      <c r="DS46" s="142"/>
      <c r="DT46" s="142"/>
      <c r="DU46" s="142"/>
      <c r="DV46" s="142"/>
    </row>
    <row r="47" spans="1:126" ht="23.25" customHeight="1">
      <c r="A47" s="1748"/>
      <c r="B47" s="492" t="s">
        <v>208</v>
      </c>
      <c r="C47" s="493">
        <f t="shared" si="70"/>
        <v>0</v>
      </c>
      <c r="D47" s="494">
        <f t="shared" si="63"/>
        <v>0</v>
      </c>
      <c r="E47" s="495">
        <f t="shared" si="63"/>
        <v>0</v>
      </c>
      <c r="F47" s="401"/>
      <c r="G47" s="403"/>
      <c r="H47" s="401"/>
      <c r="I47" s="403"/>
      <c r="J47" s="405"/>
      <c r="K47" s="403"/>
      <c r="L47" s="405"/>
      <c r="M47" s="403"/>
      <c r="N47" s="405"/>
      <c r="O47" s="404"/>
      <c r="P47" s="408"/>
      <c r="Q47" s="409"/>
      <c r="R47" s="405"/>
      <c r="S47" s="403"/>
      <c r="T47" s="486" t="s">
        <v>204</v>
      </c>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R47" s="346"/>
      <c r="BS47" s="346"/>
      <c r="BT47" s="346"/>
      <c r="BU47" s="346"/>
      <c r="BV47" s="346"/>
      <c r="BW47" s="346"/>
      <c r="BY47" s="6"/>
      <c r="BZ47" s="6"/>
      <c r="CA47" s="290"/>
      <c r="CB47" s="290"/>
      <c r="CC47" s="290"/>
      <c r="CD47" s="290"/>
      <c r="CE47" s="290"/>
      <c r="CF47" s="290"/>
      <c r="CG47" s="383" t="str">
        <f t="shared" si="64"/>
        <v/>
      </c>
      <c r="CH47" s="383" t="str">
        <f t="shared" si="65"/>
        <v/>
      </c>
      <c r="CI47" s="383" t="str">
        <f t="shared" si="66"/>
        <v/>
      </c>
      <c r="CJ47" s="383" t="str">
        <f t="shared" si="67"/>
        <v/>
      </c>
      <c r="CK47" s="290"/>
      <c r="CL47" s="290"/>
      <c r="CM47" s="290"/>
      <c r="CN47" s="290"/>
      <c r="CO47" s="290"/>
      <c r="CP47" s="290"/>
      <c r="CQ47" s="290"/>
      <c r="CR47" s="290"/>
      <c r="CS47" s="290"/>
      <c r="CT47" s="290"/>
      <c r="CU47" s="290"/>
      <c r="CV47" s="290"/>
      <c r="CW47" s="290"/>
      <c r="CX47" s="290"/>
      <c r="CY47" s="290"/>
      <c r="CZ47" s="290"/>
      <c r="DA47" s="290"/>
      <c r="DB47" s="290"/>
      <c r="DC47" s="290"/>
      <c r="DD47" s="142"/>
      <c r="DE47" s="142"/>
      <c r="DF47" s="142"/>
      <c r="DG47" s="142"/>
      <c r="DH47" s="142"/>
      <c r="DI47" s="385">
        <f t="shared" si="68"/>
        <v>0</v>
      </c>
      <c r="DJ47" s="385">
        <f t="shared" si="68"/>
        <v>0</v>
      </c>
      <c r="DK47" s="385">
        <f t="shared" si="69"/>
        <v>0</v>
      </c>
      <c r="DL47" s="385">
        <f t="shared" si="69"/>
        <v>0</v>
      </c>
      <c r="DM47" s="142"/>
      <c r="DN47" s="142"/>
      <c r="DO47" s="142"/>
      <c r="DP47" s="142"/>
      <c r="DQ47" s="142"/>
      <c r="DR47" s="142"/>
      <c r="DS47" s="142"/>
      <c r="DT47" s="142"/>
      <c r="DU47" s="142"/>
      <c r="DV47" s="142"/>
    </row>
    <row r="48" spans="1:126" ht="23.25" customHeight="1">
      <c r="A48" s="1748"/>
      <c r="B48" s="496" t="s">
        <v>5</v>
      </c>
      <c r="C48" s="416">
        <f t="shared" si="70"/>
        <v>0</v>
      </c>
      <c r="D48" s="412">
        <f>+F48+H48+J48+L48+N48</f>
        <v>0</v>
      </c>
      <c r="E48" s="474">
        <f>+G48+I48+K48+M48+O48</f>
        <v>0</v>
      </c>
      <c r="F48" s="412">
        <f>SUM(F45:F47)</f>
        <v>0</v>
      </c>
      <c r="G48" s="474">
        <f t="shared" ref="G48:S48" si="71">SUM(G45:G47)</f>
        <v>0</v>
      </c>
      <c r="H48" s="412">
        <f t="shared" si="71"/>
        <v>0</v>
      </c>
      <c r="I48" s="414">
        <f t="shared" si="71"/>
        <v>0</v>
      </c>
      <c r="J48" s="413">
        <f t="shared" si="71"/>
        <v>0</v>
      </c>
      <c r="K48" s="414">
        <f t="shared" si="71"/>
        <v>0</v>
      </c>
      <c r="L48" s="413">
        <f t="shared" si="71"/>
        <v>0</v>
      </c>
      <c r="M48" s="414">
        <f t="shared" si="71"/>
        <v>0</v>
      </c>
      <c r="N48" s="413">
        <f t="shared" si="71"/>
        <v>0</v>
      </c>
      <c r="O48" s="422">
        <f t="shared" si="71"/>
        <v>0</v>
      </c>
      <c r="P48" s="417">
        <f t="shared" si="71"/>
        <v>0</v>
      </c>
      <c r="Q48" s="413">
        <f t="shared" si="71"/>
        <v>0</v>
      </c>
      <c r="R48" s="413">
        <f t="shared" si="71"/>
        <v>0</v>
      </c>
      <c r="S48" s="474">
        <f t="shared" si="71"/>
        <v>0</v>
      </c>
      <c r="T48" s="486"/>
      <c r="U48" s="346"/>
      <c r="V48" s="346"/>
      <c r="W48" s="346"/>
      <c r="X48" s="346"/>
      <c r="Y48" s="346"/>
      <c r="Z48" s="346"/>
      <c r="AA48" s="346"/>
      <c r="AB48" s="346"/>
      <c r="AC48" s="346"/>
      <c r="AD48" s="346"/>
      <c r="AE48" s="346"/>
      <c r="AF48" s="346"/>
      <c r="AG48" s="346"/>
      <c r="AH48" s="346"/>
      <c r="AI48" s="6"/>
      <c r="AJ48" s="6"/>
      <c r="AK48" s="6"/>
      <c r="AL48" s="6"/>
      <c r="AM48" s="6"/>
      <c r="AN48" s="6"/>
      <c r="AO48" s="6"/>
      <c r="AP48" s="6"/>
      <c r="AQ48" s="6"/>
      <c r="AR48" s="6"/>
      <c r="AS48" s="6"/>
      <c r="AT48" s="6"/>
      <c r="AU48" s="6"/>
      <c r="AV48" s="6"/>
      <c r="AW48" s="6"/>
      <c r="AX48" s="6"/>
      <c r="AY48" s="6"/>
      <c r="AZ48" s="6"/>
      <c r="BA48" s="6"/>
      <c r="BB48" s="6"/>
      <c r="BR48" s="346"/>
      <c r="BS48" s="346"/>
      <c r="BT48" s="346"/>
      <c r="BU48" s="346"/>
      <c r="BV48" s="346"/>
      <c r="BW48" s="346"/>
      <c r="BY48" s="6"/>
      <c r="BZ48" s="6"/>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142"/>
      <c r="DE48" s="142"/>
      <c r="DF48" s="142"/>
      <c r="DG48" s="142"/>
      <c r="DH48" s="142"/>
      <c r="DI48" s="142"/>
      <c r="DJ48" s="142"/>
      <c r="DK48" s="142"/>
      <c r="DL48" s="142"/>
      <c r="DM48" s="142"/>
      <c r="DN48" s="142"/>
      <c r="DO48" s="142"/>
      <c r="DP48" s="142"/>
      <c r="DQ48" s="142"/>
      <c r="DR48" s="142"/>
      <c r="DS48" s="142"/>
      <c r="DT48" s="142"/>
      <c r="DU48" s="142"/>
      <c r="DV48" s="142"/>
    </row>
    <row r="49" spans="1:126" ht="23.25" customHeight="1">
      <c r="A49" s="1748"/>
      <c r="B49" s="497" t="s">
        <v>209</v>
      </c>
      <c r="C49" s="449">
        <f t="shared" si="70"/>
        <v>0</v>
      </c>
      <c r="D49" s="498">
        <f>+F49+H49+J49+L49+N49</f>
        <v>0</v>
      </c>
      <c r="E49" s="465">
        <f t="shared" ref="E49:E50" si="72">+G49+I49+K49+M49+O49</f>
        <v>0</v>
      </c>
      <c r="F49" s="390"/>
      <c r="G49" s="392"/>
      <c r="H49" s="390"/>
      <c r="I49" s="392"/>
      <c r="J49" s="394"/>
      <c r="K49" s="392"/>
      <c r="L49" s="394"/>
      <c r="M49" s="392"/>
      <c r="N49" s="394"/>
      <c r="O49" s="393"/>
      <c r="P49" s="397"/>
      <c r="Q49" s="398"/>
      <c r="R49" s="394"/>
      <c r="S49" s="392"/>
      <c r="T49" s="486" t="s">
        <v>204</v>
      </c>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R49" s="346"/>
      <c r="BS49" s="346"/>
      <c r="BT49" s="346"/>
      <c r="BU49" s="346"/>
      <c r="BV49" s="346"/>
      <c r="BW49" s="346"/>
      <c r="BY49" s="6"/>
      <c r="BZ49" s="6"/>
      <c r="CA49" s="290"/>
      <c r="CB49" s="290"/>
      <c r="CC49" s="290"/>
      <c r="CD49" s="290"/>
      <c r="CE49" s="290"/>
      <c r="CF49" s="290"/>
      <c r="CG49" s="383" t="str">
        <f t="shared" ref="CG49:CG50" si="73">IF(AND(D49&gt;0,OR(P49=""))," * No olvide digitar la variable Pueblos Originarios Hombres (Digite Cero si no tiene).",IF(P49&gt;D49," * La variable Pueblos Originarios Hombres no puede ser Mayor al Total Hombres.",""))</f>
        <v/>
      </c>
      <c r="CH49" s="383" t="str">
        <f t="shared" ref="CH49:CH50" si="74">IF(AND(E49&gt;0,OR(Q49=""))," * No olvide digitar la variable Pueblos Originarios Mujeres (Digite Cero si no tiene).",IF(Q49&gt;E49," * La variable Pueblos Originarios Mujeres no puede ser Mayor al Total Mujeres.",""))</f>
        <v/>
      </c>
      <c r="CI49" s="383" t="str">
        <f t="shared" ref="CI49:CI50" si="75">IF(AND(D49&gt;0,OR(R49=""))," * No olvide digitar la variable Migrantes Hombres (Digite Cero si no tiene).",IF(R49&gt;D49," * La variable Migrantes Hombres no puede ser Mayor al Total Hombres.",""))</f>
        <v/>
      </c>
      <c r="CJ49" s="383" t="str">
        <f t="shared" ref="CJ49:CJ50" si="76">IF(AND(E49&gt;0,OR(S49=""))," * No olvide digitar la variable Migrantes Mujeres (Digite Cero si no tiene).",IF(S49&gt;E49," * La variable Migrantes Mujeres no puede ser Mayor al Total Mujeres.",""))</f>
        <v/>
      </c>
      <c r="CK49" s="290"/>
      <c r="CL49" s="290"/>
      <c r="CM49" s="290"/>
      <c r="CN49" s="290"/>
      <c r="CO49" s="290"/>
      <c r="CP49" s="290"/>
      <c r="CQ49" s="290"/>
      <c r="CR49" s="290"/>
      <c r="CS49" s="290"/>
      <c r="CT49" s="290"/>
      <c r="CU49" s="290"/>
      <c r="CV49" s="290"/>
      <c r="CW49" s="290"/>
      <c r="CX49" s="290"/>
      <c r="CY49" s="290"/>
      <c r="CZ49" s="290"/>
      <c r="DA49" s="290"/>
      <c r="DB49" s="290"/>
      <c r="DC49" s="290"/>
      <c r="DD49" s="142"/>
      <c r="DE49" s="142"/>
      <c r="DF49" s="142"/>
      <c r="DG49" s="142"/>
      <c r="DH49" s="142"/>
      <c r="DI49" s="385">
        <f t="shared" ref="DI49:DJ50" si="77">IF(AND(D49&gt;0,OR(P49="")),1,IF(P49&gt;D49,1,0))</f>
        <v>0</v>
      </c>
      <c r="DJ49" s="385">
        <f t="shared" si="77"/>
        <v>0</v>
      </c>
      <c r="DK49" s="385">
        <f t="shared" ref="DK49:DL50" si="78">IF(AND(D49&gt;0,OR(R49="")),1,IF(R49&gt;D49,1,0))</f>
        <v>0</v>
      </c>
      <c r="DL49" s="385">
        <f t="shared" si="78"/>
        <v>0</v>
      </c>
      <c r="DM49" s="142"/>
      <c r="DN49" s="142"/>
      <c r="DO49" s="142"/>
      <c r="DP49" s="142"/>
      <c r="DQ49" s="142"/>
      <c r="DR49" s="142"/>
      <c r="DS49" s="142"/>
      <c r="DT49" s="142"/>
      <c r="DU49" s="142"/>
      <c r="DV49" s="142"/>
    </row>
    <row r="50" spans="1:126" ht="23.25" customHeight="1">
      <c r="A50" s="1748"/>
      <c r="B50" s="492" t="s">
        <v>185</v>
      </c>
      <c r="C50" s="493">
        <f>+D50+E50</f>
        <v>0</v>
      </c>
      <c r="D50" s="494">
        <f t="shared" si="63"/>
        <v>0</v>
      </c>
      <c r="E50" s="495">
        <f t="shared" si="72"/>
        <v>0</v>
      </c>
      <c r="F50" s="401"/>
      <c r="G50" s="403"/>
      <c r="H50" s="401"/>
      <c r="I50" s="403"/>
      <c r="J50" s="405"/>
      <c r="K50" s="403"/>
      <c r="L50" s="405"/>
      <c r="M50" s="403"/>
      <c r="N50" s="405"/>
      <c r="O50" s="404"/>
      <c r="P50" s="408"/>
      <c r="Q50" s="409"/>
      <c r="R50" s="405"/>
      <c r="S50" s="403"/>
      <c r="T50" s="486" t="s">
        <v>204</v>
      </c>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R50" s="346"/>
      <c r="BS50" s="346"/>
      <c r="BT50" s="346"/>
      <c r="BU50" s="346"/>
      <c r="BV50" s="346"/>
      <c r="BW50" s="346"/>
      <c r="BY50" s="6"/>
      <c r="BZ50" s="6"/>
      <c r="CA50" s="290"/>
      <c r="CB50" s="290"/>
      <c r="CC50" s="290"/>
      <c r="CD50" s="290"/>
      <c r="CE50" s="290"/>
      <c r="CF50" s="290"/>
      <c r="CG50" s="383" t="str">
        <f t="shared" si="73"/>
        <v/>
      </c>
      <c r="CH50" s="383" t="str">
        <f t="shared" si="74"/>
        <v/>
      </c>
      <c r="CI50" s="383" t="str">
        <f t="shared" si="75"/>
        <v/>
      </c>
      <c r="CJ50" s="383" t="str">
        <f t="shared" si="76"/>
        <v/>
      </c>
      <c r="CK50" s="290"/>
      <c r="CL50" s="290"/>
      <c r="CM50" s="290"/>
      <c r="CN50" s="290"/>
      <c r="CO50" s="290"/>
      <c r="CP50" s="290"/>
      <c r="CQ50" s="290"/>
      <c r="CR50" s="290"/>
      <c r="CS50" s="290"/>
      <c r="CT50" s="290"/>
      <c r="CU50" s="290"/>
      <c r="CV50" s="290"/>
      <c r="CW50" s="290"/>
      <c r="CX50" s="290"/>
      <c r="CY50" s="290"/>
      <c r="CZ50" s="290"/>
      <c r="DA50" s="290"/>
      <c r="DB50" s="290"/>
      <c r="DC50" s="290"/>
      <c r="DD50" s="142"/>
      <c r="DE50" s="142"/>
      <c r="DF50" s="142"/>
      <c r="DG50" s="142"/>
      <c r="DH50" s="142"/>
      <c r="DI50" s="385">
        <f t="shared" si="77"/>
        <v>0</v>
      </c>
      <c r="DJ50" s="385">
        <f t="shared" si="77"/>
        <v>0</v>
      </c>
      <c r="DK50" s="385">
        <f t="shared" si="78"/>
        <v>0</v>
      </c>
      <c r="DL50" s="385">
        <f t="shared" si="78"/>
        <v>0</v>
      </c>
      <c r="DM50" s="142"/>
      <c r="DN50" s="142"/>
      <c r="DO50" s="142"/>
      <c r="DP50" s="142"/>
      <c r="DQ50" s="142"/>
      <c r="DR50" s="142"/>
      <c r="DS50" s="142"/>
      <c r="DT50" s="142"/>
      <c r="DU50" s="142"/>
      <c r="DV50" s="142"/>
    </row>
    <row r="51" spans="1:126" ht="23.25" customHeight="1">
      <c r="A51" s="1748"/>
      <c r="B51" s="496" t="s">
        <v>5</v>
      </c>
      <c r="C51" s="416">
        <f t="shared" si="70"/>
        <v>0</v>
      </c>
      <c r="D51" s="412">
        <f>+F51+H51+J51+L51+N51</f>
        <v>0</v>
      </c>
      <c r="E51" s="474">
        <f>+G51+I51+K51+M51+O51</f>
        <v>0</v>
      </c>
      <c r="F51" s="425">
        <f>SUM(F49:F50)</f>
        <v>0</v>
      </c>
      <c r="G51" s="428">
        <f t="shared" ref="G51:S51" si="79">SUM(G49:G50)</f>
        <v>0</v>
      </c>
      <c r="H51" s="425">
        <f t="shared" si="79"/>
        <v>0</v>
      </c>
      <c r="I51" s="428">
        <f t="shared" si="79"/>
        <v>0</v>
      </c>
      <c r="J51" s="429">
        <f t="shared" si="79"/>
        <v>0</v>
      </c>
      <c r="K51" s="428">
        <f t="shared" si="79"/>
        <v>0</v>
      </c>
      <c r="L51" s="429">
        <f t="shared" si="79"/>
        <v>0</v>
      </c>
      <c r="M51" s="428">
        <f t="shared" si="79"/>
        <v>0</v>
      </c>
      <c r="N51" s="429">
        <f t="shared" si="79"/>
        <v>0</v>
      </c>
      <c r="O51" s="427">
        <f t="shared" si="79"/>
        <v>0</v>
      </c>
      <c r="P51" s="432">
        <f t="shared" si="79"/>
        <v>0</v>
      </c>
      <c r="Q51" s="433">
        <f t="shared" si="79"/>
        <v>0</v>
      </c>
      <c r="R51" s="429">
        <f t="shared" si="79"/>
        <v>0</v>
      </c>
      <c r="S51" s="428">
        <f t="shared" si="79"/>
        <v>0</v>
      </c>
      <c r="T51" s="486"/>
      <c r="U51" s="346"/>
      <c r="V51" s="346"/>
      <c r="W51" s="346"/>
      <c r="X51" s="346"/>
      <c r="Y51" s="346"/>
      <c r="Z51" s="346"/>
      <c r="AA51" s="346"/>
      <c r="AB51" s="346"/>
      <c r="AC51" s="346"/>
      <c r="AD51" s="346"/>
      <c r="AE51" s="346"/>
      <c r="AF51" s="346"/>
      <c r="AG51" s="346"/>
      <c r="AH51" s="346"/>
      <c r="AI51" s="6"/>
      <c r="AJ51" s="6"/>
      <c r="AK51" s="6"/>
      <c r="AL51" s="6"/>
      <c r="AM51" s="6"/>
      <c r="AN51" s="6"/>
      <c r="AO51" s="6"/>
      <c r="AP51" s="6"/>
      <c r="AQ51" s="6"/>
      <c r="AR51" s="6"/>
      <c r="AS51" s="6"/>
      <c r="AT51" s="6"/>
      <c r="AU51" s="6"/>
      <c r="AV51" s="6"/>
      <c r="AW51" s="6"/>
      <c r="AX51" s="6"/>
      <c r="AY51" s="6"/>
      <c r="AZ51" s="6"/>
      <c r="BA51" s="6"/>
      <c r="BB51" s="6"/>
      <c r="BR51" s="346"/>
      <c r="BS51" s="346"/>
      <c r="BT51" s="346"/>
      <c r="BU51" s="346"/>
      <c r="BV51" s="346"/>
      <c r="BW51" s="346"/>
      <c r="BY51" s="6"/>
      <c r="BZ51" s="6"/>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142"/>
      <c r="DE51" s="142"/>
      <c r="DF51" s="142"/>
      <c r="DG51" s="142"/>
      <c r="DH51" s="142"/>
      <c r="DI51" s="142"/>
      <c r="DJ51" s="142"/>
      <c r="DK51" s="142"/>
      <c r="DL51" s="142"/>
      <c r="DM51" s="142"/>
      <c r="DN51" s="142"/>
      <c r="DO51" s="142"/>
      <c r="DP51" s="142"/>
      <c r="DQ51" s="142"/>
      <c r="DR51" s="142"/>
      <c r="DS51" s="142"/>
      <c r="DT51" s="142"/>
      <c r="DU51" s="142"/>
      <c r="DV51" s="142"/>
    </row>
    <row r="52" spans="1:126" ht="23.25" customHeight="1">
      <c r="A52" s="1749"/>
      <c r="B52" s="496" t="s">
        <v>188</v>
      </c>
      <c r="C52" s="416">
        <f t="shared" si="70"/>
        <v>0</v>
      </c>
      <c r="D52" s="412">
        <f>+F52+H52+J52+L52+N52</f>
        <v>0</v>
      </c>
      <c r="E52" s="474">
        <f t="shared" ref="E52:E54" si="80">+G52+I52+K52+M52+O52</f>
        <v>0</v>
      </c>
      <c r="F52" s="373"/>
      <c r="G52" s="374"/>
      <c r="H52" s="373"/>
      <c r="I52" s="374"/>
      <c r="J52" s="380"/>
      <c r="K52" s="374"/>
      <c r="L52" s="380"/>
      <c r="M52" s="374"/>
      <c r="N52" s="380"/>
      <c r="O52" s="499"/>
      <c r="P52" s="380"/>
      <c r="Q52" s="379"/>
      <c r="R52" s="380"/>
      <c r="S52" s="374"/>
      <c r="T52" s="486" t="s">
        <v>204</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R52" s="346"/>
      <c r="BS52" s="346"/>
      <c r="BT52" s="346"/>
      <c r="BU52" s="346"/>
      <c r="BV52" s="346"/>
      <c r="BW52" s="346"/>
      <c r="BY52" s="6"/>
      <c r="BZ52" s="6"/>
      <c r="CA52" s="290"/>
      <c r="CB52" s="290"/>
      <c r="CC52" s="290"/>
      <c r="CD52" s="290"/>
      <c r="CE52" s="290"/>
      <c r="CF52" s="290"/>
      <c r="CG52" s="383" t="str">
        <f t="shared" ref="CG52:CG54" si="81">IF(AND(D52&gt;0,OR(P52=""))," * No olvide digitar la variable Pueblos Originarios Hombres (Digite Cero si no tiene).",IF(P52&gt;D52," * La variable Pueblos Originarios Hombres no puede ser Mayor al Total Hombres.",""))</f>
        <v/>
      </c>
      <c r="CH52" s="383" t="str">
        <f t="shared" ref="CH52:CH54" si="82">IF(AND(E52&gt;0,OR(Q52=""))," * No olvide digitar la variable Pueblos Originarios Mujeres (Digite Cero si no tiene).",IF(Q52&gt;E52," * La variable Pueblos Originarios Mujeres no puede ser Mayor al Total Mujeres.",""))</f>
        <v/>
      </c>
      <c r="CI52" s="383" t="str">
        <f t="shared" ref="CI52:CI54" si="83">IF(AND(D52&gt;0,OR(R52=""))," * No olvide digitar la variable Migrantes Hombres (Digite Cero si no tiene).",IF(R52&gt;D52," * La variable Migrantes Hombres no puede ser Mayor al Total Hombres.",""))</f>
        <v/>
      </c>
      <c r="CJ52" s="383" t="str">
        <f t="shared" ref="CJ52:CJ54" si="84">IF(AND(E52&gt;0,OR(S52=""))," * No olvide digitar la variable Migrantes Mujeres (Digite Cero si no tiene).",IF(S52&gt;E52," * La variable Migrantes Mujeres no puede ser Mayor al Total Mujeres.",""))</f>
        <v/>
      </c>
      <c r="CK52" s="290"/>
      <c r="CL52" s="290"/>
      <c r="CM52" s="290"/>
      <c r="CN52" s="290"/>
      <c r="CO52" s="290"/>
      <c r="CP52" s="290"/>
      <c r="CQ52" s="290"/>
      <c r="CR52" s="290"/>
      <c r="CS52" s="290"/>
      <c r="CT52" s="290"/>
      <c r="CU52" s="290"/>
      <c r="CV52" s="290"/>
      <c r="CW52" s="290"/>
      <c r="CX52" s="290"/>
      <c r="CY52" s="290"/>
      <c r="CZ52" s="290"/>
      <c r="DA52" s="290"/>
      <c r="DB52" s="290"/>
      <c r="DC52" s="290"/>
      <c r="DD52" s="142"/>
      <c r="DE52" s="142"/>
      <c r="DF52" s="142"/>
      <c r="DG52" s="142"/>
      <c r="DH52" s="142"/>
      <c r="DI52" s="385">
        <f t="shared" ref="DI52:DJ54" si="85">IF(AND(D52&gt;0,OR(P52="")),1,IF(P52&gt;D52,1,0))</f>
        <v>0</v>
      </c>
      <c r="DJ52" s="385">
        <f t="shared" si="85"/>
        <v>0</v>
      </c>
      <c r="DK52" s="385">
        <f t="shared" ref="DK52:DL54" si="86">IF(AND(D52&gt;0,OR(R52="")),1,IF(R52&gt;D52,1,0))</f>
        <v>0</v>
      </c>
      <c r="DL52" s="385">
        <f t="shared" si="86"/>
        <v>0</v>
      </c>
      <c r="DM52" s="142"/>
      <c r="DN52" s="142"/>
      <c r="DO52" s="142"/>
      <c r="DP52" s="142"/>
      <c r="DQ52" s="142"/>
      <c r="DR52" s="142"/>
      <c r="DS52" s="142"/>
      <c r="DT52" s="142"/>
      <c r="DU52" s="142"/>
      <c r="DV52" s="142"/>
    </row>
    <row r="53" spans="1:126" ht="23.25" customHeight="1">
      <c r="A53" s="1866" t="s">
        <v>187</v>
      </c>
      <c r="B53" s="500" t="s">
        <v>182</v>
      </c>
      <c r="C53" s="501">
        <f t="shared" si="70"/>
        <v>0</v>
      </c>
      <c r="D53" s="502">
        <f t="shared" ref="D53:D54" si="87">+F53+H53+J53+L53+N53</f>
        <v>0</v>
      </c>
      <c r="E53" s="503">
        <f t="shared" si="80"/>
        <v>0</v>
      </c>
      <c r="F53" s="434"/>
      <c r="G53" s="435"/>
      <c r="H53" s="434"/>
      <c r="I53" s="437"/>
      <c r="J53" s="435"/>
      <c r="K53" s="437"/>
      <c r="L53" s="435"/>
      <c r="M53" s="437"/>
      <c r="N53" s="435"/>
      <c r="O53" s="504"/>
      <c r="P53" s="440"/>
      <c r="Q53" s="441"/>
      <c r="R53" s="441"/>
      <c r="S53" s="437"/>
      <c r="T53" s="486" t="s">
        <v>204</v>
      </c>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R53" s="346"/>
      <c r="BS53" s="346"/>
      <c r="BT53" s="346"/>
      <c r="BU53" s="346"/>
      <c r="BV53" s="346"/>
      <c r="BW53" s="346"/>
      <c r="BY53" s="6"/>
      <c r="BZ53" s="6"/>
      <c r="CA53" s="290"/>
      <c r="CB53" s="290"/>
      <c r="CC53" s="290"/>
      <c r="CD53" s="290"/>
      <c r="CE53" s="290"/>
      <c r="CF53" s="290"/>
      <c r="CG53" s="383" t="str">
        <f t="shared" si="81"/>
        <v/>
      </c>
      <c r="CH53" s="383" t="str">
        <f t="shared" si="82"/>
        <v/>
      </c>
      <c r="CI53" s="383" t="str">
        <f t="shared" si="83"/>
        <v/>
      </c>
      <c r="CJ53" s="383" t="str">
        <f t="shared" si="84"/>
        <v/>
      </c>
      <c r="CK53" s="290"/>
      <c r="CL53" s="290"/>
      <c r="CM53" s="290"/>
      <c r="CN53" s="290"/>
      <c r="CO53" s="290"/>
      <c r="CP53" s="290"/>
      <c r="CQ53" s="290"/>
      <c r="CR53" s="290"/>
      <c r="CS53" s="290"/>
      <c r="CT53" s="290"/>
      <c r="CU53" s="290"/>
      <c r="CV53" s="290"/>
      <c r="CW53" s="290"/>
      <c r="CX53" s="290"/>
      <c r="CY53" s="290"/>
      <c r="CZ53" s="290"/>
      <c r="DA53" s="290"/>
      <c r="DB53" s="290"/>
      <c r="DC53" s="290"/>
      <c r="DD53" s="142"/>
      <c r="DE53" s="142"/>
      <c r="DF53" s="142"/>
      <c r="DG53" s="142"/>
      <c r="DH53" s="142"/>
      <c r="DI53" s="385">
        <f t="shared" si="85"/>
        <v>0</v>
      </c>
      <c r="DJ53" s="385">
        <f t="shared" si="85"/>
        <v>0</v>
      </c>
      <c r="DK53" s="385">
        <f t="shared" si="86"/>
        <v>0</v>
      </c>
      <c r="DL53" s="385">
        <f t="shared" si="86"/>
        <v>0</v>
      </c>
      <c r="DM53" s="142"/>
      <c r="DN53" s="142"/>
      <c r="DO53" s="142"/>
      <c r="DP53" s="142"/>
      <c r="DQ53" s="142"/>
      <c r="DR53" s="142"/>
      <c r="DS53" s="142"/>
      <c r="DT53" s="142"/>
      <c r="DU53" s="142"/>
      <c r="DV53" s="142"/>
    </row>
    <row r="54" spans="1:126" ht="23.25" customHeight="1">
      <c r="A54" s="1867"/>
      <c r="B54" s="505" t="s">
        <v>183</v>
      </c>
      <c r="C54" s="506">
        <f t="shared" si="70"/>
        <v>0</v>
      </c>
      <c r="D54" s="507">
        <f t="shared" si="87"/>
        <v>0</v>
      </c>
      <c r="E54" s="508">
        <f t="shared" si="80"/>
        <v>0</v>
      </c>
      <c r="F54" s="401"/>
      <c r="G54" s="405"/>
      <c r="H54" s="401"/>
      <c r="I54" s="403"/>
      <c r="J54" s="405"/>
      <c r="K54" s="403"/>
      <c r="L54" s="405"/>
      <c r="M54" s="403"/>
      <c r="N54" s="405"/>
      <c r="O54" s="509"/>
      <c r="P54" s="408"/>
      <c r="Q54" s="409"/>
      <c r="R54" s="409"/>
      <c r="S54" s="403"/>
      <c r="T54" s="486" t="s">
        <v>204</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R54" s="346"/>
      <c r="BS54" s="346"/>
      <c r="BT54" s="346"/>
      <c r="BU54" s="346"/>
      <c r="BV54" s="346"/>
      <c r="BW54" s="346"/>
      <c r="BY54" s="6"/>
      <c r="BZ54" s="6"/>
      <c r="CA54" s="290"/>
      <c r="CB54" s="290"/>
      <c r="CC54" s="290"/>
      <c r="CD54" s="290"/>
      <c r="CE54" s="290"/>
      <c r="CF54" s="290"/>
      <c r="CG54" s="383" t="str">
        <f t="shared" si="81"/>
        <v/>
      </c>
      <c r="CH54" s="383" t="str">
        <f t="shared" si="82"/>
        <v/>
      </c>
      <c r="CI54" s="383" t="str">
        <f t="shared" si="83"/>
        <v/>
      </c>
      <c r="CJ54" s="383" t="str">
        <f t="shared" si="84"/>
        <v/>
      </c>
      <c r="CK54" s="290"/>
      <c r="CL54" s="290"/>
      <c r="CM54" s="290"/>
      <c r="CN54" s="290"/>
      <c r="CO54" s="290"/>
      <c r="CP54" s="290"/>
      <c r="CQ54" s="290"/>
      <c r="CR54" s="290"/>
      <c r="CS54" s="290"/>
      <c r="CT54" s="290"/>
      <c r="CU54" s="290"/>
      <c r="CV54" s="290"/>
      <c r="CW54" s="290"/>
      <c r="CX54" s="290"/>
      <c r="CY54" s="290"/>
      <c r="CZ54" s="290"/>
      <c r="DA54" s="290"/>
      <c r="DB54" s="290"/>
      <c r="DC54" s="290"/>
      <c r="DD54" s="142"/>
      <c r="DE54" s="142"/>
      <c r="DF54" s="142"/>
      <c r="DG54" s="142"/>
      <c r="DH54" s="142"/>
      <c r="DI54" s="385">
        <f t="shared" si="85"/>
        <v>0</v>
      </c>
      <c r="DJ54" s="385">
        <f t="shared" si="85"/>
        <v>0</v>
      </c>
      <c r="DK54" s="385">
        <f t="shared" si="86"/>
        <v>0</v>
      </c>
      <c r="DL54" s="385">
        <f t="shared" si="86"/>
        <v>0</v>
      </c>
      <c r="DM54" s="142"/>
      <c r="DN54" s="142"/>
      <c r="DO54" s="142"/>
      <c r="DP54" s="142"/>
      <c r="DQ54" s="142"/>
      <c r="DR54" s="142"/>
      <c r="DS54" s="142"/>
      <c r="DT54" s="142"/>
      <c r="DU54" s="142"/>
      <c r="DV54" s="142"/>
    </row>
    <row r="55" spans="1:126" ht="23.25" customHeight="1">
      <c r="A55" s="1867"/>
      <c r="B55" s="510" t="s">
        <v>5</v>
      </c>
      <c r="C55" s="431">
        <f t="shared" si="70"/>
        <v>0</v>
      </c>
      <c r="D55" s="425">
        <f>+F55+H55+J55+L55+N55</f>
        <v>0</v>
      </c>
      <c r="E55" s="426">
        <f>+G55+I55+K55+M55+O55</f>
        <v>0</v>
      </c>
      <c r="F55" s="425">
        <f>SUM(F53:F54)</f>
        <v>0</v>
      </c>
      <c r="G55" s="429">
        <f t="shared" ref="G55:S55" si="88">SUM(G53:G54)</f>
        <v>0</v>
      </c>
      <c r="H55" s="425">
        <f t="shared" si="88"/>
        <v>0</v>
      </c>
      <c r="I55" s="428">
        <f t="shared" si="88"/>
        <v>0</v>
      </c>
      <c r="J55" s="429">
        <f t="shared" si="88"/>
        <v>0</v>
      </c>
      <c r="K55" s="428">
        <f t="shared" si="88"/>
        <v>0</v>
      </c>
      <c r="L55" s="429">
        <f t="shared" si="88"/>
        <v>0</v>
      </c>
      <c r="M55" s="428">
        <f t="shared" si="88"/>
        <v>0</v>
      </c>
      <c r="N55" s="429">
        <f t="shared" si="88"/>
        <v>0</v>
      </c>
      <c r="O55" s="511">
        <f t="shared" si="88"/>
        <v>0</v>
      </c>
      <c r="P55" s="432">
        <f t="shared" si="88"/>
        <v>0</v>
      </c>
      <c r="Q55" s="433">
        <f t="shared" si="88"/>
        <v>0</v>
      </c>
      <c r="R55" s="433">
        <f t="shared" si="88"/>
        <v>0</v>
      </c>
      <c r="S55" s="428">
        <f t="shared" si="88"/>
        <v>0</v>
      </c>
      <c r="T55" s="486"/>
      <c r="U55" s="346"/>
      <c r="V55" s="346"/>
      <c r="W55" s="346"/>
      <c r="X55" s="346"/>
      <c r="Y55" s="346"/>
      <c r="Z55" s="346"/>
      <c r="AA55" s="346"/>
      <c r="AB55" s="346"/>
      <c r="AC55" s="346"/>
      <c r="AD55" s="346"/>
      <c r="AE55" s="346"/>
      <c r="AF55" s="346"/>
      <c r="AG55" s="346"/>
      <c r="AH55" s="346"/>
      <c r="AI55" s="6"/>
      <c r="AJ55" s="6"/>
      <c r="AK55" s="6"/>
      <c r="AL55" s="6"/>
      <c r="AM55" s="6"/>
      <c r="AN55" s="6"/>
      <c r="AO55" s="6"/>
      <c r="AP55" s="6"/>
      <c r="AQ55" s="6"/>
      <c r="AR55" s="6"/>
      <c r="AS55" s="6"/>
      <c r="AT55" s="6"/>
      <c r="AU55" s="6"/>
      <c r="AV55" s="6"/>
      <c r="AW55" s="6"/>
      <c r="AX55" s="6"/>
      <c r="AY55" s="6"/>
      <c r="AZ55" s="6"/>
      <c r="BA55" s="6"/>
      <c r="BB55" s="6"/>
      <c r="BR55" s="346"/>
      <c r="BS55" s="346"/>
      <c r="BT55" s="346"/>
      <c r="BU55" s="346"/>
      <c r="BV55" s="346"/>
      <c r="BW55" s="346"/>
      <c r="BY55" s="6"/>
      <c r="BZ55" s="6"/>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142"/>
      <c r="DE55" s="142"/>
      <c r="DF55" s="142"/>
      <c r="DG55" s="142"/>
      <c r="DH55" s="142"/>
      <c r="DI55" s="142"/>
      <c r="DJ55" s="142"/>
      <c r="DK55" s="142"/>
      <c r="DL55" s="142"/>
      <c r="DM55" s="142"/>
      <c r="DN55" s="142"/>
      <c r="DO55" s="142"/>
      <c r="DP55" s="142"/>
      <c r="DQ55" s="142"/>
      <c r="DR55" s="142"/>
      <c r="DS55" s="142"/>
      <c r="DT55" s="142"/>
      <c r="DU55" s="142"/>
      <c r="DV55" s="142"/>
    </row>
    <row r="56" spans="1:126" ht="23.25" customHeight="1">
      <c r="A56" s="1867"/>
      <c r="B56" s="512" t="s">
        <v>184</v>
      </c>
      <c r="C56" s="501">
        <f t="shared" si="70"/>
        <v>0</v>
      </c>
      <c r="D56" s="502">
        <f t="shared" ref="D56:E57" si="89">+F56+H56+J56+L56+N56</f>
        <v>0</v>
      </c>
      <c r="E56" s="503">
        <f t="shared" si="89"/>
        <v>0</v>
      </c>
      <c r="F56" s="434"/>
      <c r="G56" s="435"/>
      <c r="H56" s="434"/>
      <c r="I56" s="437"/>
      <c r="J56" s="435"/>
      <c r="K56" s="437"/>
      <c r="L56" s="435"/>
      <c r="M56" s="437"/>
      <c r="N56" s="435"/>
      <c r="O56" s="504"/>
      <c r="P56" s="440"/>
      <c r="Q56" s="441"/>
      <c r="R56" s="441"/>
      <c r="S56" s="437"/>
      <c r="T56" s="486" t="s">
        <v>204</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R56" s="346"/>
      <c r="BS56" s="346"/>
      <c r="BT56" s="346"/>
      <c r="BU56" s="346"/>
      <c r="BV56" s="346"/>
      <c r="BW56" s="346"/>
      <c r="BY56" s="6"/>
      <c r="BZ56" s="6"/>
      <c r="CA56" s="290"/>
      <c r="CB56" s="290"/>
      <c r="CC56" s="290"/>
      <c r="CD56" s="290"/>
      <c r="CE56" s="290"/>
      <c r="CF56" s="290"/>
      <c r="CG56" s="383" t="str">
        <f t="shared" ref="CG56:CG57" si="90">IF(AND(D56&gt;0,OR(P56=""))," * No olvide digitar la variable Pueblos Originarios Hombres (Digite Cero si no tiene).",IF(P56&gt;D56," * La variable Pueblos Originarios Hombres no puede ser Mayor al Total Hombres.",""))</f>
        <v/>
      </c>
      <c r="CH56" s="383" t="str">
        <f t="shared" ref="CH56:CH57" si="91">IF(AND(E56&gt;0,OR(Q56=""))," * No olvide digitar la variable Pueblos Originarios Mujeres (Digite Cero si no tiene).",IF(Q56&gt;E56," * La variable Pueblos Originarios Mujeres no puede ser Mayor al Total Mujeres.",""))</f>
        <v/>
      </c>
      <c r="CI56" s="383" t="str">
        <f t="shared" ref="CI56:CI57" si="92">IF(AND(D56&gt;0,OR(R56=""))," * No olvide digitar la variable Migrantes Hombres (Digite Cero si no tiene).",IF(R56&gt;D56," * La variable Migrantes Hombres no puede ser Mayor al Total Hombres.",""))</f>
        <v/>
      </c>
      <c r="CJ56" s="383" t="str">
        <f t="shared" ref="CJ56:CJ57" si="93">IF(AND(E56&gt;0,OR(S56=""))," * No olvide digitar la variable Migrantes Mujeres (Digite Cero si no tiene).",IF(S56&gt;E56," * La variable Migrantes Mujeres no puede ser Mayor al Total Mujeres.",""))</f>
        <v/>
      </c>
      <c r="CK56" s="290"/>
      <c r="CL56" s="290"/>
      <c r="CM56" s="290"/>
      <c r="CN56" s="290"/>
      <c r="CO56" s="290"/>
      <c r="CP56" s="290"/>
      <c r="CQ56" s="290"/>
      <c r="CR56" s="290"/>
      <c r="CS56" s="290"/>
      <c r="CT56" s="290"/>
      <c r="CU56" s="290"/>
      <c r="CV56" s="290"/>
      <c r="CW56" s="290"/>
      <c r="CX56" s="290"/>
      <c r="CY56" s="290"/>
      <c r="CZ56" s="290"/>
      <c r="DA56" s="290"/>
      <c r="DB56" s="290"/>
      <c r="DC56" s="290"/>
      <c r="DD56" s="142"/>
      <c r="DE56" s="142"/>
      <c r="DF56" s="142"/>
      <c r="DG56" s="142"/>
      <c r="DH56" s="142"/>
      <c r="DI56" s="385">
        <f t="shared" ref="DI56:DJ57" si="94">IF(AND(D56&gt;0,OR(P56="")),1,IF(P56&gt;D56,1,0))</f>
        <v>0</v>
      </c>
      <c r="DJ56" s="385">
        <f t="shared" si="94"/>
        <v>0</v>
      </c>
      <c r="DK56" s="385">
        <f t="shared" ref="DK56:DL57" si="95">IF(AND(D56&gt;0,OR(R56="")),1,IF(R56&gt;D56,1,0))</f>
        <v>0</v>
      </c>
      <c r="DL56" s="385">
        <f t="shared" si="95"/>
        <v>0</v>
      </c>
      <c r="DM56" s="142"/>
      <c r="DN56" s="142"/>
      <c r="DO56" s="142"/>
      <c r="DP56" s="142"/>
      <c r="DQ56" s="142"/>
      <c r="DR56" s="142"/>
      <c r="DS56" s="142"/>
      <c r="DT56" s="142"/>
      <c r="DU56" s="142"/>
      <c r="DV56" s="142"/>
    </row>
    <row r="57" spans="1:126" ht="23.25" customHeight="1">
      <c r="A57" s="1867"/>
      <c r="B57" s="505" t="s">
        <v>185</v>
      </c>
      <c r="C57" s="506">
        <f t="shared" si="70"/>
        <v>0</v>
      </c>
      <c r="D57" s="507">
        <f t="shared" si="89"/>
        <v>0</v>
      </c>
      <c r="E57" s="508">
        <f t="shared" si="89"/>
        <v>0</v>
      </c>
      <c r="F57" s="401"/>
      <c r="G57" s="405"/>
      <c r="H57" s="401"/>
      <c r="I57" s="403"/>
      <c r="J57" s="405"/>
      <c r="K57" s="403"/>
      <c r="L57" s="405"/>
      <c r="M57" s="403"/>
      <c r="N57" s="405"/>
      <c r="O57" s="509"/>
      <c r="P57" s="408"/>
      <c r="Q57" s="409"/>
      <c r="R57" s="409"/>
      <c r="S57" s="403"/>
      <c r="T57" s="486" t="s">
        <v>204</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R57" s="346"/>
      <c r="BS57" s="346"/>
      <c r="BT57" s="346"/>
      <c r="BU57" s="346"/>
      <c r="BV57" s="346"/>
      <c r="BW57" s="346"/>
      <c r="BY57" s="6"/>
      <c r="BZ57" s="6"/>
      <c r="CA57" s="290"/>
      <c r="CB57" s="290"/>
      <c r="CC57" s="290"/>
      <c r="CD57" s="290"/>
      <c r="CE57" s="290"/>
      <c r="CF57" s="290"/>
      <c r="CG57" s="383" t="str">
        <f t="shared" si="90"/>
        <v/>
      </c>
      <c r="CH57" s="383" t="str">
        <f t="shared" si="91"/>
        <v/>
      </c>
      <c r="CI57" s="383" t="str">
        <f t="shared" si="92"/>
        <v/>
      </c>
      <c r="CJ57" s="383" t="str">
        <f t="shared" si="93"/>
        <v/>
      </c>
      <c r="CK57" s="290"/>
      <c r="CL57" s="290"/>
      <c r="CM57" s="290"/>
      <c r="CN57" s="290"/>
      <c r="CO57" s="290"/>
      <c r="CP57" s="290"/>
      <c r="CQ57" s="290"/>
      <c r="CR57" s="290"/>
      <c r="CS57" s="290"/>
      <c r="CT57" s="290"/>
      <c r="CU57" s="290"/>
      <c r="CV57" s="290"/>
      <c r="CW57" s="290"/>
      <c r="CX57" s="290"/>
      <c r="CY57" s="290"/>
      <c r="CZ57" s="290"/>
      <c r="DA57" s="290"/>
      <c r="DB57" s="290"/>
      <c r="DC57" s="290"/>
      <c r="DD57" s="142"/>
      <c r="DE57" s="142"/>
      <c r="DF57" s="142"/>
      <c r="DG57" s="142"/>
      <c r="DH57" s="142"/>
      <c r="DI57" s="385">
        <f t="shared" si="94"/>
        <v>0</v>
      </c>
      <c r="DJ57" s="385">
        <f t="shared" si="94"/>
        <v>0</v>
      </c>
      <c r="DK57" s="385">
        <f t="shared" si="95"/>
        <v>0</v>
      </c>
      <c r="DL57" s="385">
        <f t="shared" si="95"/>
        <v>0</v>
      </c>
      <c r="DM57" s="142"/>
      <c r="DN57" s="142"/>
      <c r="DO57" s="142"/>
      <c r="DP57" s="142"/>
      <c r="DQ57" s="142"/>
      <c r="DR57" s="142"/>
      <c r="DS57" s="142"/>
      <c r="DT57" s="142"/>
      <c r="DU57" s="142"/>
      <c r="DV57" s="142"/>
    </row>
    <row r="58" spans="1:126" ht="23.25" customHeight="1">
      <c r="A58" s="1867"/>
      <c r="B58" s="510" t="s">
        <v>5</v>
      </c>
      <c r="C58" s="431">
        <f t="shared" si="70"/>
        <v>0</v>
      </c>
      <c r="D58" s="425">
        <f>+F58+H58+J58+L58+N58</f>
        <v>0</v>
      </c>
      <c r="E58" s="426">
        <f>+G58+I58+K58+M58+O58</f>
        <v>0</v>
      </c>
      <c r="F58" s="425">
        <f>SUM(F56:F57)</f>
        <v>0</v>
      </c>
      <c r="G58" s="429">
        <f t="shared" ref="G58:S58" si="96">SUM(G56:G57)</f>
        <v>0</v>
      </c>
      <c r="H58" s="425">
        <f t="shared" si="96"/>
        <v>0</v>
      </c>
      <c r="I58" s="428">
        <f t="shared" si="96"/>
        <v>0</v>
      </c>
      <c r="J58" s="429">
        <f t="shared" si="96"/>
        <v>0</v>
      </c>
      <c r="K58" s="428">
        <f t="shared" si="96"/>
        <v>0</v>
      </c>
      <c r="L58" s="429">
        <f t="shared" si="96"/>
        <v>0</v>
      </c>
      <c r="M58" s="428">
        <f t="shared" si="96"/>
        <v>0</v>
      </c>
      <c r="N58" s="429">
        <f t="shared" si="96"/>
        <v>0</v>
      </c>
      <c r="O58" s="511">
        <f t="shared" si="96"/>
        <v>0</v>
      </c>
      <c r="P58" s="432">
        <f>SUM(P56:P57)</f>
        <v>0</v>
      </c>
      <c r="Q58" s="433">
        <f t="shared" si="96"/>
        <v>0</v>
      </c>
      <c r="R58" s="433">
        <f t="shared" si="96"/>
        <v>0</v>
      </c>
      <c r="S58" s="428">
        <f t="shared" si="96"/>
        <v>0</v>
      </c>
      <c r="T58" s="486"/>
      <c r="U58" s="346"/>
      <c r="V58" s="346"/>
      <c r="W58" s="346"/>
      <c r="X58" s="346"/>
      <c r="Y58" s="346"/>
      <c r="Z58" s="346"/>
      <c r="AA58" s="346"/>
      <c r="AB58" s="346"/>
      <c r="AC58" s="346"/>
      <c r="AD58" s="346"/>
      <c r="AE58" s="346"/>
      <c r="AF58" s="346"/>
      <c r="AG58" s="346"/>
      <c r="AH58" s="346"/>
      <c r="AI58" s="6"/>
      <c r="AJ58" s="6"/>
      <c r="AK58" s="6"/>
      <c r="AL58" s="6"/>
      <c r="AM58" s="6"/>
      <c r="AN58" s="6"/>
      <c r="AO58" s="6"/>
      <c r="AP58" s="6"/>
      <c r="AQ58" s="6"/>
      <c r="AR58" s="6"/>
      <c r="AS58" s="6"/>
      <c r="AT58" s="6"/>
      <c r="AU58" s="6"/>
      <c r="AV58" s="6"/>
      <c r="AW58" s="6"/>
      <c r="AX58" s="6"/>
      <c r="AY58" s="6"/>
      <c r="AZ58" s="6"/>
      <c r="BA58" s="6"/>
      <c r="BB58" s="6"/>
      <c r="BR58" s="346"/>
      <c r="BS58" s="346"/>
      <c r="BT58" s="346"/>
      <c r="BU58" s="346"/>
      <c r="BV58" s="346"/>
      <c r="BW58" s="346"/>
      <c r="BY58" s="6"/>
      <c r="BZ58" s="6"/>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142"/>
      <c r="DE58" s="142"/>
      <c r="DF58" s="142"/>
      <c r="DG58" s="142"/>
      <c r="DH58" s="142"/>
      <c r="DI58" s="142"/>
      <c r="DJ58" s="142"/>
      <c r="DK58" s="142"/>
      <c r="DL58" s="142"/>
      <c r="DM58" s="142"/>
      <c r="DN58" s="142"/>
      <c r="DO58" s="142"/>
      <c r="DP58" s="142"/>
      <c r="DQ58" s="142"/>
      <c r="DR58" s="142"/>
      <c r="DS58" s="142"/>
      <c r="DT58" s="142"/>
      <c r="DU58" s="142"/>
      <c r="DV58" s="142"/>
    </row>
    <row r="59" spans="1:126" ht="23.25" customHeight="1">
      <c r="A59" s="1868"/>
      <c r="B59" s="513" t="s">
        <v>188</v>
      </c>
      <c r="C59" s="514">
        <f t="shared" si="70"/>
        <v>0</v>
      </c>
      <c r="D59" s="515">
        <f t="shared" ref="D59:E62" si="97">+F59+H59+J59+L59+N59</f>
        <v>0</v>
      </c>
      <c r="E59" s="516">
        <f t="shared" si="97"/>
        <v>0</v>
      </c>
      <c r="F59" s="369"/>
      <c r="G59" s="435"/>
      <c r="H59" s="369"/>
      <c r="I59" s="371"/>
      <c r="J59" s="375"/>
      <c r="K59" s="371"/>
      <c r="L59" s="375"/>
      <c r="M59" s="371"/>
      <c r="N59" s="375"/>
      <c r="O59" s="517"/>
      <c r="P59" s="447"/>
      <c r="Q59" s="448"/>
      <c r="R59" s="448"/>
      <c r="S59" s="371"/>
      <c r="T59" s="486" t="s">
        <v>204</v>
      </c>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R59" s="346"/>
      <c r="BS59" s="346"/>
      <c r="BT59" s="346"/>
      <c r="BU59" s="346"/>
      <c r="BV59" s="346"/>
      <c r="BW59" s="346"/>
      <c r="BY59" s="6"/>
      <c r="BZ59" s="6"/>
      <c r="CA59" s="290"/>
      <c r="CB59" s="290"/>
      <c r="CC59" s="290"/>
      <c r="CD59" s="290"/>
      <c r="CE59" s="290"/>
      <c r="CF59" s="290"/>
      <c r="CG59" s="383" t="str">
        <f t="shared" ref="CG59:CG62" si="98">IF(AND(D59&gt;0,OR(P59=""))," * No olvide digitar la variable Pueblos Originarios Hombres (Digite Cero si no tiene).",IF(P59&gt;D59," * La variable Pueblos Originarios Hombres no puede ser Mayor al Total Hombres.",""))</f>
        <v/>
      </c>
      <c r="CH59" s="383" t="str">
        <f t="shared" ref="CH59:CH62" si="99">IF(AND(E59&gt;0,OR(Q59=""))," * No olvide digitar la variable Pueblos Originarios Mujeres (Digite Cero si no tiene).",IF(Q59&gt;E59," * La variable Pueblos Originarios Mujeres no puede ser Mayor al Total Mujeres.",""))</f>
        <v/>
      </c>
      <c r="CI59" s="383" t="str">
        <f t="shared" ref="CI59:CI62" si="100">IF(AND(D59&gt;0,OR(R59=""))," * No olvide digitar la variable Migrantes Hombres (Digite Cero si no tiene).",IF(R59&gt;D59," * La variable Migrantes Hombres no puede ser Mayor al Total Hombres.",""))</f>
        <v/>
      </c>
      <c r="CJ59" s="383" t="str">
        <f t="shared" ref="CJ59:CJ62" si="101">IF(AND(E59&gt;0,OR(S59=""))," * No olvide digitar la variable Migrantes Mujeres (Digite Cero si no tiene).",IF(S59&gt;E59," * La variable Migrantes Mujeres no puede ser Mayor al Total Mujeres.",""))</f>
        <v/>
      </c>
      <c r="CK59" s="290"/>
      <c r="CL59" s="290"/>
      <c r="CM59" s="290"/>
      <c r="CN59" s="290"/>
      <c r="CO59" s="290"/>
      <c r="CP59" s="290"/>
      <c r="CQ59" s="290"/>
      <c r="CR59" s="290"/>
      <c r="CS59" s="290"/>
      <c r="CT59" s="290"/>
      <c r="CU59" s="290"/>
      <c r="CV59" s="290"/>
      <c r="CW59" s="290"/>
      <c r="CX59" s="290"/>
      <c r="CY59" s="290"/>
      <c r="CZ59" s="290"/>
      <c r="DA59" s="290"/>
      <c r="DB59" s="290"/>
      <c r="DC59" s="290"/>
      <c r="DD59" s="142"/>
      <c r="DE59" s="142"/>
      <c r="DF59" s="142"/>
      <c r="DG59" s="142"/>
      <c r="DH59" s="142"/>
      <c r="DI59" s="385">
        <f t="shared" ref="DI59:DJ62" si="102">IF(AND(D59&gt;0,OR(P59="")),1,IF(P59&gt;D59,1,0))</f>
        <v>0</v>
      </c>
      <c r="DJ59" s="385">
        <f t="shared" si="102"/>
        <v>0</v>
      </c>
      <c r="DK59" s="385">
        <f t="shared" ref="DK59:DL62" si="103">IF(AND(D59&gt;0,OR(R59="")),1,IF(R59&gt;D59,1,0))</f>
        <v>0</v>
      </c>
      <c r="DL59" s="385">
        <f t="shared" si="103"/>
        <v>0</v>
      </c>
      <c r="DM59" s="142"/>
      <c r="DN59" s="142"/>
      <c r="DO59" s="142"/>
      <c r="DP59" s="142"/>
      <c r="DQ59" s="142"/>
      <c r="DR59" s="142"/>
      <c r="DS59" s="142"/>
      <c r="DT59" s="142"/>
      <c r="DU59" s="142"/>
      <c r="DV59" s="142"/>
    </row>
    <row r="60" spans="1:126" ht="23.25" customHeight="1">
      <c r="A60" s="1869" t="s">
        <v>210</v>
      </c>
      <c r="B60" s="419" t="s">
        <v>211</v>
      </c>
      <c r="C60" s="449">
        <f t="shared" si="70"/>
        <v>0</v>
      </c>
      <c r="D60" s="498">
        <f t="shared" si="97"/>
        <v>0</v>
      </c>
      <c r="E60" s="465">
        <f t="shared" si="97"/>
        <v>0</v>
      </c>
      <c r="F60" s="390"/>
      <c r="G60" s="392"/>
      <c r="H60" s="390"/>
      <c r="I60" s="392"/>
      <c r="J60" s="394"/>
      <c r="K60" s="392"/>
      <c r="L60" s="394"/>
      <c r="M60" s="392"/>
      <c r="N60" s="394"/>
      <c r="O60" s="393"/>
      <c r="P60" s="397"/>
      <c r="Q60" s="398"/>
      <c r="R60" s="394"/>
      <c r="S60" s="392"/>
      <c r="T60" s="486" t="s">
        <v>204</v>
      </c>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R60" s="346"/>
      <c r="BS60" s="346"/>
      <c r="BT60" s="346"/>
      <c r="BU60" s="346"/>
      <c r="BV60" s="346"/>
      <c r="BW60" s="346"/>
      <c r="BY60" s="6"/>
      <c r="BZ60" s="6"/>
      <c r="CA60" s="290"/>
      <c r="CB60" s="290"/>
      <c r="CC60" s="290"/>
      <c r="CD60" s="290"/>
      <c r="CE60" s="290"/>
      <c r="CF60" s="290"/>
      <c r="CG60" s="383" t="str">
        <f t="shared" si="98"/>
        <v/>
      </c>
      <c r="CH60" s="383" t="str">
        <f t="shared" si="99"/>
        <v/>
      </c>
      <c r="CI60" s="383" t="str">
        <f t="shared" si="100"/>
        <v/>
      </c>
      <c r="CJ60" s="383" t="str">
        <f t="shared" si="101"/>
        <v/>
      </c>
      <c r="CK60" s="290"/>
      <c r="CL60" s="290"/>
      <c r="CM60" s="290"/>
      <c r="CN60" s="290"/>
      <c r="CO60" s="290"/>
      <c r="CP60" s="290"/>
      <c r="CQ60" s="290"/>
      <c r="CR60" s="290"/>
      <c r="CS60" s="290"/>
      <c r="CT60" s="290"/>
      <c r="CU60" s="290"/>
      <c r="CV60" s="290"/>
      <c r="CW60" s="290"/>
      <c r="CX60" s="290"/>
      <c r="CY60" s="290"/>
      <c r="CZ60" s="290"/>
      <c r="DA60" s="290"/>
      <c r="DB60" s="290"/>
      <c r="DC60" s="290"/>
      <c r="DD60" s="142"/>
      <c r="DE60" s="142"/>
      <c r="DF60" s="142"/>
      <c r="DG60" s="142"/>
      <c r="DH60" s="142"/>
      <c r="DI60" s="385">
        <f t="shared" si="102"/>
        <v>0</v>
      </c>
      <c r="DJ60" s="385">
        <f t="shared" si="102"/>
        <v>0</v>
      </c>
      <c r="DK60" s="385">
        <f t="shared" si="103"/>
        <v>0</v>
      </c>
      <c r="DL60" s="385">
        <f t="shared" si="103"/>
        <v>0</v>
      </c>
      <c r="DM60" s="142"/>
      <c r="DN60" s="142"/>
      <c r="DO60" s="142"/>
      <c r="DP60" s="142"/>
      <c r="DQ60" s="142"/>
      <c r="DR60" s="142"/>
      <c r="DS60" s="142"/>
      <c r="DT60" s="142"/>
      <c r="DU60" s="142"/>
      <c r="DV60" s="142"/>
    </row>
    <row r="61" spans="1:126" ht="23.25" customHeight="1">
      <c r="A61" s="1870"/>
      <c r="B61" s="386" t="s">
        <v>212</v>
      </c>
      <c r="C61" s="452">
        <f t="shared" si="70"/>
        <v>0</v>
      </c>
      <c r="D61" s="491">
        <f t="shared" si="97"/>
        <v>0</v>
      </c>
      <c r="E61" s="454">
        <f t="shared" si="97"/>
        <v>0</v>
      </c>
      <c r="F61" s="457"/>
      <c r="G61" s="458"/>
      <c r="H61" s="457"/>
      <c r="I61" s="458"/>
      <c r="J61" s="460"/>
      <c r="K61" s="458"/>
      <c r="L61" s="460"/>
      <c r="M61" s="458"/>
      <c r="N61" s="460"/>
      <c r="O61" s="459"/>
      <c r="P61" s="462"/>
      <c r="Q61" s="463"/>
      <c r="R61" s="460"/>
      <c r="S61" s="458"/>
      <c r="T61" s="486" t="s">
        <v>204</v>
      </c>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R61" s="346"/>
      <c r="BS61" s="346"/>
      <c r="BT61" s="346"/>
      <c r="BU61" s="346"/>
      <c r="BV61" s="346"/>
      <c r="BW61" s="346"/>
      <c r="BY61" s="6"/>
      <c r="BZ61" s="6"/>
      <c r="CA61" s="290"/>
      <c r="CB61" s="290"/>
      <c r="CC61" s="290"/>
      <c r="CD61" s="290"/>
      <c r="CE61" s="290"/>
      <c r="CF61" s="290"/>
      <c r="CG61" s="383" t="str">
        <f t="shared" si="98"/>
        <v/>
      </c>
      <c r="CH61" s="383" t="str">
        <f t="shared" si="99"/>
        <v/>
      </c>
      <c r="CI61" s="383" t="str">
        <f t="shared" si="100"/>
        <v/>
      </c>
      <c r="CJ61" s="383" t="str">
        <f t="shared" si="101"/>
        <v/>
      </c>
      <c r="CK61" s="290"/>
      <c r="CL61" s="290"/>
      <c r="CM61" s="290"/>
      <c r="CN61" s="290"/>
      <c r="CO61" s="290"/>
      <c r="CP61" s="290"/>
      <c r="CQ61" s="290"/>
      <c r="CR61" s="290"/>
      <c r="CS61" s="290"/>
      <c r="CT61" s="290"/>
      <c r="CU61" s="290"/>
      <c r="CV61" s="290"/>
      <c r="CW61" s="290"/>
      <c r="CX61" s="290"/>
      <c r="CY61" s="290"/>
      <c r="CZ61" s="290"/>
      <c r="DA61" s="290"/>
      <c r="DB61" s="290"/>
      <c r="DC61" s="290"/>
      <c r="DD61" s="142"/>
      <c r="DE61" s="142"/>
      <c r="DF61" s="142"/>
      <c r="DG61" s="142"/>
      <c r="DH61" s="142"/>
      <c r="DI61" s="385">
        <f t="shared" si="102"/>
        <v>0</v>
      </c>
      <c r="DJ61" s="385">
        <f t="shared" si="102"/>
        <v>0</v>
      </c>
      <c r="DK61" s="385">
        <f t="shared" si="103"/>
        <v>0</v>
      </c>
      <c r="DL61" s="385">
        <f t="shared" si="103"/>
        <v>0</v>
      </c>
      <c r="DM61" s="142"/>
      <c r="DN61" s="142"/>
      <c r="DO61" s="142"/>
      <c r="DP61" s="142"/>
      <c r="DQ61" s="142"/>
      <c r="DR61" s="142"/>
      <c r="DS61" s="142"/>
      <c r="DT61" s="142"/>
      <c r="DU61" s="142"/>
      <c r="DV61" s="142"/>
    </row>
    <row r="62" spans="1:126" ht="23.25" customHeight="1">
      <c r="A62" s="1870"/>
      <c r="B62" s="399" t="s">
        <v>213</v>
      </c>
      <c r="C62" s="493">
        <f t="shared" si="70"/>
        <v>0</v>
      </c>
      <c r="D62" s="494">
        <f t="shared" si="97"/>
        <v>0</v>
      </c>
      <c r="E62" s="495">
        <f t="shared" si="97"/>
        <v>0</v>
      </c>
      <c r="F62" s="401"/>
      <c r="G62" s="403"/>
      <c r="H62" s="401"/>
      <c r="I62" s="403"/>
      <c r="J62" s="405"/>
      <c r="K62" s="403"/>
      <c r="L62" s="405"/>
      <c r="M62" s="403"/>
      <c r="N62" s="405"/>
      <c r="O62" s="404"/>
      <c r="P62" s="408"/>
      <c r="Q62" s="409"/>
      <c r="R62" s="405"/>
      <c r="S62" s="403"/>
      <c r="T62" s="486" t="s">
        <v>204</v>
      </c>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R62" s="346"/>
      <c r="BS62" s="346"/>
      <c r="BT62" s="346"/>
      <c r="BU62" s="346"/>
      <c r="BV62" s="346"/>
      <c r="BW62" s="346"/>
      <c r="BY62" s="6"/>
      <c r="BZ62" s="6"/>
      <c r="CA62" s="290"/>
      <c r="CB62" s="290"/>
      <c r="CC62" s="290"/>
      <c r="CD62" s="290"/>
      <c r="CE62" s="290"/>
      <c r="CF62" s="290"/>
      <c r="CG62" s="383" t="str">
        <f t="shared" si="98"/>
        <v/>
      </c>
      <c r="CH62" s="383" t="str">
        <f t="shared" si="99"/>
        <v/>
      </c>
      <c r="CI62" s="383" t="str">
        <f t="shared" si="100"/>
        <v/>
      </c>
      <c r="CJ62" s="383" t="str">
        <f t="shared" si="101"/>
        <v/>
      </c>
      <c r="CK62" s="290"/>
      <c r="CL62" s="290"/>
      <c r="CM62" s="290"/>
      <c r="CN62" s="290"/>
      <c r="CO62" s="290"/>
      <c r="CP62" s="290"/>
      <c r="CQ62" s="290"/>
      <c r="CR62" s="290"/>
      <c r="CS62" s="290"/>
      <c r="CT62" s="290"/>
      <c r="CU62" s="290"/>
      <c r="CV62" s="290"/>
      <c r="CW62" s="290"/>
      <c r="CX62" s="290"/>
      <c r="CY62" s="290"/>
      <c r="CZ62" s="290"/>
      <c r="DA62" s="290"/>
      <c r="DB62" s="290"/>
      <c r="DC62" s="290"/>
      <c r="DD62" s="142"/>
      <c r="DE62" s="142"/>
      <c r="DF62" s="142"/>
      <c r="DG62" s="142"/>
      <c r="DH62" s="142"/>
      <c r="DI62" s="385">
        <f t="shared" si="102"/>
        <v>0</v>
      </c>
      <c r="DJ62" s="385">
        <f t="shared" si="102"/>
        <v>0</v>
      </c>
      <c r="DK62" s="385">
        <f t="shared" si="103"/>
        <v>0</v>
      </c>
      <c r="DL62" s="385">
        <f t="shared" si="103"/>
        <v>0</v>
      </c>
      <c r="DM62" s="142"/>
      <c r="DN62" s="142"/>
      <c r="DO62" s="142"/>
      <c r="DP62" s="142"/>
      <c r="DQ62" s="142"/>
      <c r="DR62" s="142"/>
      <c r="DS62" s="142"/>
      <c r="DT62" s="142"/>
      <c r="DU62" s="142"/>
      <c r="DV62" s="142"/>
    </row>
    <row r="63" spans="1:126" ht="23.25" customHeight="1">
      <c r="A63" s="1871"/>
      <c r="B63" s="410" t="s">
        <v>5</v>
      </c>
      <c r="C63" s="416">
        <f>+D63+E63</f>
        <v>0</v>
      </c>
      <c r="D63" s="412">
        <f>+F63+H63+J63+L63+N63</f>
        <v>0</v>
      </c>
      <c r="E63" s="474">
        <f>+G63+I63+K63+M63+O63</f>
        <v>0</v>
      </c>
      <c r="F63" s="425">
        <f>SUM(F60:F62)</f>
        <v>0</v>
      </c>
      <c r="G63" s="428">
        <f t="shared" ref="G63:R63" si="104">SUM(G60:G62)</f>
        <v>0</v>
      </c>
      <c r="H63" s="425">
        <f t="shared" si="104"/>
        <v>0</v>
      </c>
      <c r="I63" s="428">
        <f t="shared" si="104"/>
        <v>0</v>
      </c>
      <c r="J63" s="429">
        <f t="shared" si="104"/>
        <v>0</v>
      </c>
      <c r="K63" s="428">
        <f t="shared" si="104"/>
        <v>0</v>
      </c>
      <c r="L63" s="429">
        <f t="shared" si="104"/>
        <v>0</v>
      </c>
      <c r="M63" s="428">
        <f t="shared" si="104"/>
        <v>0</v>
      </c>
      <c r="N63" s="429">
        <f t="shared" si="104"/>
        <v>0</v>
      </c>
      <c r="O63" s="427">
        <f t="shared" si="104"/>
        <v>0</v>
      </c>
      <c r="P63" s="432">
        <f>SUM(P60:P62)</f>
        <v>0</v>
      </c>
      <c r="Q63" s="433">
        <f t="shared" si="104"/>
        <v>0</v>
      </c>
      <c r="R63" s="429">
        <f t="shared" si="104"/>
        <v>0</v>
      </c>
      <c r="S63" s="428">
        <f>SUM(S60:S62)</f>
        <v>0</v>
      </c>
      <c r="T63" s="486"/>
      <c r="U63" s="6"/>
      <c r="V63" s="346"/>
      <c r="W63" s="346"/>
      <c r="X63" s="346"/>
      <c r="Y63" s="346"/>
      <c r="Z63" s="346"/>
      <c r="AA63" s="346"/>
      <c r="AB63" s="346"/>
      <c r="AC63" s="346"/>
      <c r="AD63" s="346"/>
      <c r="AE63" s="346"/>
      <c r="AF63" s="346"/>
      <c r="AG63" s="346"/>
      <c r="AH63" s="346"/>
      <c r="AI63" s="346"/>
      <c r="AJ63" s="6"/>
      <c r="AK63" s="6"/>
      <c r="AL63" s="6"/>
      <c r="AM63" s="6"/>
      <c r="AN63" s="6"/>
      <c r="AO63" s="6"/>
      <c r="AP63" s="6"/>
      <c r="AQ63" s="6"/>
      <c r="AR63" s="6"/>
      <c r="AS63" s="6"/>
      <c r="AT63" s="6"/>
      <c r="AU63" s="6"/>
      <c r="AV63" s="6"/>
      <c r="AW63" s="6"/>
      <c r="AX63" s="6"/>
      <c r="AY63" s="6"/>
      <c r="AZ63" s="6"/>
      <c r="BA63" s="6"/>
      <c r="BB63" s="6"/>
      <c r="BR63" s="346"/>
      <c r="BS63" s="346"/>
      <c r="BT63" s="346"/>
      <c r="BU63" s="346"/>
      <c r="BV63" s="346"/>
      <c r="BW63" s="346"/>
      <c r="BY63" s="6"/>
      <c r="BZ63" s="6"/>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142"/>
      <c r="DE63" s="142"/>
      <c r="DF63" s="142"/>
      <c r="DG63" s="142"/>
      <c r="DH63" s="142"/>
      <c r="DI63" s="142"/>
      <c r="DJ63" s="142"/>
      <c r="DK63" s="142"/>
      <c r="DL63" s="142"/>
      <c r="DM63" s="142"/>
      <c r="DN63" s="142"/>
      <c r="DO63" s="142"/>
      <c r="DP63" s="142"/>
      <c r="DQ63" s="142"/>
      <c r="DR63" s="142"/>
      <c r="DS63" s="142"/>
      <c r="DT63" s="142"/>
      <c r="DU63" s="142"/>
      <c r="DV63" s="142"/>
    </row>
    <row r="64" spans="1:126" ht="22.5" customHeight="1">
      <c r="A64" s="1872" t="s">
        <v>189</v>
      </c>
      <c r="B64" s="419" t="s">
        <v>190</v>
      </c>
      <c r="C64" s="449">
        <f t="shared" si="70"/>
        <v>0</v>
      </c>
      <c r="D64" s="498">
        <f t="shared" ref="D64:E69" si="105">+F64+H64+J64+L64+N64</f>
        <v>0</v>
      </c>
      <c r="E64" s="465">
        <f t="shared" si="105"/>
        <v>0</v>
      </c>
      <c r="F64" s="390"/>
      <c r="G64" s="392"/>
      <c r="H64" s="390"/>
      <c r="I64" s="392"/>
      <c r="J64" s="394"/>
      <c r="K64" s="392"/>
      <c r="L64" s="394"/>
      <c r="M64" s="392"/>
      <c r="N64" s="394"/>
      <c r="O64" s="393"/>
      <c r="P64" s="397"/>
      <c r="Q64" s="398"/>
      <c r="R64" s="394"/>
      <c r="S64" s="392"/>
      <c r="T64" s="486" t="s">
        <v>204</v>
      </c>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R64" s="346"/>
      <c r="BS64" s="346"/>
      <c r="BT64" s="346"/>
      <c r="BU64" s="346"/>
      <c r="BV64" s="346"/>
      <c r="BW64" s="346"/>
      <c r="BY64" s="6"/>
      <c r="BZ64" s="6"/>
      <c r="CA64" s="290"/>
      <c r="CB64" s="290"/>
      <c r="CC64" s="290"/>
      <c r="CD64" s="290"/>
      <c r="CE64" s="290"/>
      <c r="CF64" s="290"/>
      <c r="CG64" s="383" t="str">
        <f t="shared" ref="CG64:CG69" si="106">IF(AND(D64&gt;0,OR(P64=""))," * No olvide digitar la variable Pueblos Originarios Hombres (Digite Cero si no tiene).",IF(P64&gt;D64," * La variable Pueblos Originarios Hombres no puede ser Mayor al Total Hombres.",""))</f>
        <v/>
      </c>
      <c r="CH64" s="383" t="str">
        <f t="shared" ref="CH64:CH69" si="107">IF(AND(E64&gt;0,OR(Q64=""))," * No olvide digitar la variable Pueblos Originarios Mujeres (Digite Cero si no tiene).",IF(Q64&gt;E64," * La variable Pueblos Originarios Mujeres no puede ser Mayor al Total Mujeres.",""))</f>
        <v/>
      </c>
      <c r="CI64" s="383" t="str">
        <f t="shared" ref="CI64:CI69" si="108">IF(AND(D64&gt;0,OR(R64=""))," * No olvide digitar la variable Migrantes Hombres (Digite Cero si no tiene).",IF(R64&gt;D64," * La variable Migrantes Hombres no puede ser Mayor al Total Hombres.",""))</f>
        <v/>
      </c>
      <c r="CJ64" s="383" t="str">
        <f t="shared" ref="CJ64:CJ69" si="109">IF(AND(E64&gt;0,OR(S64=""))," * No olvide digitar la variable Migrantes Mujeres (Digite Cero si no tiene).",IF(S64&gt;E64," * La variable Migrantes Mujeres no puede ser Mayor al Total Mujeres.",""))</f>
        <v/>
      </c>
      <c r="CK64" s="290"/>
      <c r="CL64" s="290"/>
      <c r="CM64" s="290"/>
      <c r="CN64" s="290"/>
      <c r="CO64" s="290"/>
      <c r="CP64" s="290"/>
      <c r="CQ64" s="290"/>
      <c r="CR64" s="290"/>
      <c r="CS64" s="290"/>
      <c r="CT64" s="290"/>
      <c r="CU64" s="290"/>
      <c r="CV64" s="290"/>
      <c r="CW64" s="290"/>
      <c r="CX64" s="290"/>
      <c r="CY64" s="290"/>
      <c r="CZ64" s="290"/>
      <c r="DA64" s="290"/>
      <c r="DB64" s="290"/>
      <c r="DC64" s="290"/>
      <c r="DD64" s="142"/>
      <c r="DE64" s="142"/>
      <c r="DF64" s="142"/>
      <c r="DG64" s="142"/>
      <c r="DH64" s="142"/>
      <c r="DI64" s="385">
        <f t="shared" ref="DI64:DJ69" si="110">IF(AND(D64&gt;0,OR(P64="")),1,IF(P64&gt;D64,1,0))</f>
        <v>0</v>
      </c>
      <c r="DJ64" s="385">
        <f t="shared" si="110"/>
        <v>0</v>
      </c>
      <c r="DK64" s="385">
        <f t="shared" ref="DK64:DL69" si="111">IF(AND(D64&gt;0,OR(R64="")),1,IF(R64&gt;D64,1,0))</f>
        <v>0</v>
      </c>
      <c r="DL64" s="385">
        <f t="shared" si="111"/>
        <v>0</v>
      </c>
      <c r="DM64" s="142"/>
      <c r="DN64" s="142"/>
      <c r="DO64" s="142"/>
      <c r="DP64" s="142"/>
      <c r="DQ64" s="142"/>
      <c r="DR64" s="142"/>
      <c r="DS64" s="142"/>
      <c r="DT64" s="142"/>
      <c r="DU64" s="142"/>
      <c r="DV64" s="142"/>
    </row>
    <row r="65" spans="1:126" ht="22.5" customHeight="1">
      <c r="A65" s="1873"/>
      <c r="B65" s="386" t="s">
        <v>191</v>
      </c>
      <c r="C65" s="452">
        <f t="shared" si="70"/>
        <v>0</v>
      </c>
      <c r="D65" s="491">
        <f t="shared" si="105"/>
        <v>0</v>
      </c>
      <c r="E65" s="454">
        <f t="shared" si="105"/>
        <v>0</v>
      </c>
      <c r="F65" s="457"/>
      <c r="G65" s="458"/>
      <c r="H65" s="457"/>
      <c r="I65" s="458"/>
      <c r="J65" s="460"/>
      <c r="K65" s="458"/>
      <c r="L65" s="460"/>
      <c r="M65" s="458"/>
      <c r="N65" s="460"/>
      <c r="O65" s="459"/>
      <c r="P65" s="462"/>
      <c r="Q65" s="463"/>
      <c r="R65" s="460"/>
      <c r="S65" s="458"/>
      <c r="T65" s="486" t="s">
        <v>204</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R65" s="346"/>
      <c r="BS65" s="346"/>
      <c r="BT65" s="346"/>
      <c r="BU65" s="346"/>
      <c r="BV65" s="346"/>
      <c r="BW65" s="346"/>
      <c r="BY65" s="6"/>
      <c r="BZ65" s="6"/>
      <c r="CA65" s="290"/>
      <c r="CB65" s="290"/>
      <c r="CC65" s="290"/>
      <c r="CD65" s="290"/>
      <c r="CE65" s="290"/>
      <c r="CF65" s="290"/>
      <c r="CG65" s="383" t="str">
        <f t="shared" si="106"/>
        <v/>
      </c>
      <c r="CH65" s="383" t="str">
        <f t="shared" si="107"/>
        <v/>
      </c>
      <c r="CI65" s="383" t="str">
        <f t="shared" si="108"/>
        <v/>
      </c>
      <c r="CJ65" s="383" t="str">
        <f t="shared" si="109"/>
        <v/>
      </c>
      <c r="CK65" s="290"/>
      <c r="CL65" s="290"/>
      <c r="CM65" s="290"/>
      <c r="CN65" s="290"/>
      <c r="CO65" s="290"/>
      <c r="CP65" s="290"/>
      <c r="CQ65" s="290"/>
      <c r="CR65" s="290"/>
      <c r="CS65" s="290"/>
      <c r="CT65" s="290"/>
      <c r="CU65" s="290"/>
      <c r="CV65" s="290"/>
      <c r="CW65" s="290"/>
      <c r="CX65" s="290"/>
      <c r="CY65" s="290"/>
      <c r="CZ65" s="290"/>
      <c r="DA65" s="290"/>
      <c r="DB65" s="290"/>
      <c r="DC65" s="290"/>
      <c r="DD65" s="142"/>
      <c r="DE65" s="142"/>
      <c r="DF65" s="142"/>
      <c r="DG65" s="142"/>
      <c r="DH65" s="142"/>
      <c r="DI65" s="385">
        <f t="shared" si="110"/>
        <v>0</v>
      </c>
      <c r="DJ65" s="385">
        <f t="shared" si="110"/>
        <v>0</v>
      </c>
      <c r="DK65" s="385">
        <f t="shared" si="111"/>
        <v>0</v>
      </c>
      <c r="DL65" s="385">
        <f t="shared" si="111"/>
        <v>0</v>
      </c>
      <c r="DM65" s="142"/>
      <c r="DN65" s="142"/>
      <c r="DO65" s="142"/>
      <c r="DP65" s="142"/>
      <c r="DQ65" s="142"/>
      <c r="DR65" s="142"/>
      <c r="DS65" s="142"/>
      <c r="DT65" s="142"/>
      <c r="DU65" s="142"/>
      <c r="DV65" s="142"/>
    </row>
    <row r="66" spans="1:126" ht="22.5" customHeight="1">
      <c r="A66" s="1873"/>
      <c r="B66" s="386" t="s">
        <v>192</v>
      </c>
      <c r="C66" s="452">
        <f t="shared" si="70"/>
        <v>0</v>
      </c>
      <c r="D66" s="491">
        <f t="shared" si="105"/>
        <v>0</v>
      </c>
      <c r="E66" s="454">
        <f t="shared" si="105"/>
        <v>0</v>
      </c>
      <c r="F66" s="457"/>
      <c r="G66" s="458"/>
      <c r="H66" s="457"/>
      <c r="I66" s="458"/>
      <c r="J66" s="460"/>
      <c r="K66" s="458"/>
      <c r="L66" s="460"/>
      <c r="M66" s="458"/>
      <c r="N66" s="460"/>
      <c r="O66" s="459"/>
      <c r="P66" s="462"/>
      <c r="Q66" s="463"/>
      <c r="R66" s="460"/>
      <c r="S66" s="458"/>
      <c r="T66" s="486" t="s">
        <v>204</v>
      </c>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R66" s="346"/>
      <c r="BS66" s="346"/>
      <c r="BT66" s="346"/>
      <c r="BU66" s="346"/>
      <c r="BV66" s="346"/>
      <c r="BW66" s="346"/>
      <c r="BY66" s="6"/>
      <c r="BZ66" s="6"/>
      <c r="CA66" s="290"/>
      <c r="CB66" s="290"/>
      <c r="CC66" s="290"/>
      <c r="CD66" s="290"/>
      <c r="CE66" s="290"/>
      <c r="CF66" s="290"/>
      <c r="CG66" s="383" t="str">
        <f t="shared" si="106"/>
        <v/>
      </c>
      <c r="CH66" s="383" t="str">
        <f t="shared" si="107"/>
        <v/>
      </c>
      <c r="CI66" s="383" t="str">
        <f t="shared" si="108"/>
        <v/>
      </c>
      <c r="CJ66" s="383" t="str">
        <f t="shared" si="109"/>
        <v/>
      </c>
      <c r="CK66" s="290"/>
      <c r="CL66" s="290"/>
      <c r="CM66" s="290"/>
      <c r="CN66" s="290"/>
      <c r="CO66" s="290"/>
      <c r="CP66" s="290"/>
      <c r="CQ66" s="290"/>
      <c r="CR66" s="290"/>
      <c r="CS66" s="290"/>
      <c r="CT66" s="290"/>
      <c r="CU66" s="290"/>
      <c r="CV66" s="290"/>
      <c r="CW66" s="290"/>
      <c r="CX66" s="290"/>
      <c r="CY66" s="290"/>
      <c r="CZ66" s="290"/>
      <c r="DA66" s="290"/>
      <c r="DB66" s="290"/>
      <c r="DC66" s="290"/>
      <c r="DD66" s="142"/>
      <c r="DE66" s="142"/>
      <c r="DF66" s="142"/>
      <c r="DG66" s="142"/>
      <c r="DH66" s="142"/>
      <c r="DI66" s="385">
        <f t="shared" si="110"/>
        <v>0</v>
      </c>
      <c r="DJ66" s="385">
        <f t="shared" si="110"/>
        <v>0</v>
      </c>
      <c r="DK66" s="385">
        <f t="shared" si="111"/>
        <v>0</v>
      </c>
      <c r="DL66" s="385">
        <f t="shared" si="111"/>
        <v>0</v>
      </c>
      <c r="DM66" s="142"/>
      <c r="DN66" s="142"/>
      <c r="DO66" s="142"/>
      <c r="DP66" s="142"/>
      <c r="DQ66" s="142"/>
      <c r="DR66" s="142"/>
      <c r="DS66" s="142"/>
      <c r="DT66" s="142"/>
      <c r="DU66" s="142"/>
      <c r="DV66" s="142"/>
    </row>
    <row r="67" spans="1:126" ht="22.5" customHeight="1">
      <c r="A67" s="1873"/>
      <c r="B67" s="386" t="s">
        <v>193</v>
      </c>
      <c r="C67" s="452">
        <f t="shared" si="70"/>
        <v>0</v>
      </c>
      <c r="D67" s="491">
        <f t="shared" si="105"/>
        <v>0</v>
      </c>
      <c r="E67" s="454">
        <f t="shared" si="105"/>
        <v>0</v>
      </c>
      <c r="F67" s="457"/>
      <c r="G67" s="458"/>
      <c r="H67" s="457"/>
      <c r="I67" s="458"/>
      <c r="J67" s="460"/>
      <c r="K67" s="458"/>
      <c r="L67" s="460"/>
      <c r="M67" s="458"/>
      <c r="N67" s="460"/>
      <c r="O67" s="459"/>
      <c r="P67" s="462"/>
      <c r="Q67" s="463"/>
      <c r="R67" s="460"/>
      <c r="S67" s="458"/>
      <c r="T67" s="486" t="s">
        <v>204</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R67" s="346"/>
      <c r="BS67" s="346"/>
      <c r="BT67" s="346"/>
      <c r="BU67" s="346"/>
      <c r="BV67" s="346"/>
      <c r="BW67" s="346"/>
      <c r="BY67" s="6"/>
      <c r="BZ67" s="6"/>
      <c r="CA67" s="290"/>
      <c r="CB67" s="290"/>
      <c r="CC67" s="290"/>
      <c r="CD67" s="290"/>
      <c r="CE67" s="290"/>
      <c r="CF67" s="290"/>
      <c r="CG67" s="383" t="str">
        <f t="shared" si="106"/>
        <v/>
      </c>
      <c r="CH67" s="383" t="str">
        <f t="shared" si="107"/>
        <v/>
      </c>
      <c r="CI67" s="383" t="str">
        <f t="shared" si="108"/>
        <v/>
      </c>
      <c r="CJ67" s="383" t="str">
        <f t="shared" si="109"/>
        <v/>
      </c>
      <c r="CK67" s="290"/>
      <c r="CL67" s="290"/>
      <c r="CM67" s="290"/>
      <c r="CN67" s="290"/>
      <c r="CO67" s="290"/>
      <c r="CP67" s="290"/>
      <c r="CQ67" s="290"/>
      <c r="CR67" s="290"/>
      <c r="CS67" s="290"/>
      <c r="CT67" s="290"/>
      <c r="CU67" s="290"/>
      <c r="CV67" s="290"/>
      <c r="CW67" s="290"/>
      <c r="CX67" s="290"/>
      <c r="CY67" s="290"/>
      <c r="CZ67" s="290"/>
      <c r="DA67" s="290"/>
      <c r="DB67" s="290"/>
      <c r="DC67" s="290"/>
      <c r="DD67" s="142"/>
      <c r="DE67" s="142"/>
      <c r="DF67" s="142"/>
      <c r="DG67" s="142"/>
      <c r="DH67" s="142"/>
      <c r="DI67" s="385">
        <f t="shared" si="110"/>
        <v>0</v>
      </c>
      <c r="DJ67" s="385">
        <f t="shared" si="110"/>
        <v>0</v>
      </c>
      <c r="DK67" s="385">
        <f t="shared" si="111"/>
        <v>0</v>
      </c>
      <c r="DL67" s="385">
        <f t="shared" si="111"/>
        <v>0</v>
      </c>
      <c r="DM67" s="142"/>
      <c r="DN67" s="142"/>
      <c r="DO67" s="142"/>
      <c r="DP67" s="142"/>
      <c r="DQ67" s="142"/>
      <c r="DR67" s="142"/>
      <c r="DS67" s="142"/>
      <c r="DT67" s="142"/>
      <c r="DU67" s="142"/>
      <c r="DV67" s="142"/>
    </row>
    <row r="68" spans="1:126" ht="22.5" customHeight="1">
      <c r="A68" s="1873"/>
      <c r="B68" s="386" t="s">
        <v>214</v>
      </c>
      <c r="C68" s="452">
        <f t="shared" si="70"/>
        <v>0</v>
      </c>
      <c r="D68" s="491">
        <f t="shared" si="105"/>
        <v>0</v>
      </c>
      <c r="E68" s="454">
        <f t="shared" si="105"/>
        <v>0</v>
      </c>
      <c r="F68" s="457"/>
      <c r="G68" s="458"/>
      <c r="H68" s="457"/>
      <c r="I68" s="458"/>
      <c r="J68" s="460"/>
      <c r="K68" s="458"/>
      <c r="L68" s="460"/>
      <c r="M68" s="458"/>
      <c r="N68" s="460"/>
      <c r="O68" s="459"/>
      <c r="P68" s="462"/>
      <c r="Q68" s="463"/>
      <c r="R68" s="460"/>
      <c r="S68" s="458"/>
      <c r="T68" s="486" t="s">
        <v>204</v>
      </c>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R68" s="346"/>
      <c r="BS68" s="346"/>
      <c r="BT68" s="346"/>
      <c r="BU68" s="346"/>
      <c r="BV68" s="346"/>
      <c r="BW68" s="346"/>
      <c r="BY68" s="6"/>
      <c r="BZ68" s="6"/>
      <c r="CA68" s="290"/>
      <c r="CB68" s="290"/>
      <c r="CC68" s="290"/>
      <c r="CD68" s="290"/>
      <c r="CE68" s="290"/>
      <c r="CF68" s="290"/>
      <c r="CG68" s="383" t="str">
        <f t="shared" si="106"/>
        <v/>
      </c>
      <c r="CH68" s="383" t="str">
        <f t="shared" si="107"/>
        <v/>
      </c>
      <c r="CI68" s="383" t="str">
        <f t="shared" si="108"/>
        <v/>
      </c>
      <c r="CJ68" s="383" t="str">
        <f t="shared" si="109"/>
        <v/>
      </c>
      <c r="CK68" s="290"/>
      <c r="CL68" s="290"/>
      <c r="CM68" s="290"/>
      <c r="CN68" s="290"/>
      <c r="CO68" s="290"/>
      <c r="CP68" s="290"/>
      <c r="CQ68" s="290"/>
      <c r="CR68" s="290"/>
      <c r="CS68" s="290"/>
      <c r="CT68" s="290"/>
      <c r="CU68" s="290"/>
      <c r="CV68" s="290"/>
      <c r="CW68" s="290"/>
      <c r="CX68" s="290"/>
      <c r="CY68" s="290"/>
      <c r="CZ68" s="290"/>
      <c r="DA68" s="290"/>
      <c r="DB68" s="290"/>
      <c r="DC68" s="290"/>
      <c r="DD68" s="142"/>
      <c r="DE68" s="142"/>
      <c r="DF68" s="142"/>
      <c r="DG68" s="142"/>
      <c r="DH68" s="142"/>
      <c r="DI68" s="385">
        <f t="shared" si="110"/>
        <v>0</v>
      </c>
      <c r="DJ68" s="385">
        <f t="shared" si="110"/>
        <v>0</v>
      </c>
      <c r="DK68" s="385">
        <f t="shared" si="111"/>
        <v>0</v>
      </c>
      <c r="DL68" s="385">
        <f t="shared" si="111"/>
        <v>0</v>
      </c>
      <c r="DM68" s="142"/>
      <c r="DN68" s="142"/>
      <c r="DO68" s="142"/>
      <c r="DP68" s="142"/>
      <c r="DQ68" s="142"/>
      <c r="DR68" s="142"/>
      <c r="DS68" s="142"/>
      <c r="DT68" s="142"/>
      <c r="DU68" s="142"/>
      <c r="DV68" s="142"/>
    </row>
    <row r="69" spans="1:126" ht="22.5" customHeight="1">
      <c r="A69" s="1873"/>
      <c r="B69" s="399" t="s">
        <v>152</v>
      </c>
      <c r="C69" s="493">
        <f t="shared" si="70"/>
        <v>0</v>
      </c>
      <c r="D69" s="494">
        <f t="shared" si="105"/>
        <v>0</v>
      </c>
      <c r="E69" s="495">
        <f>+G69+I69+K69+M69+O69</f>
        <v>0</v>
      </c>
      <c r="F69" s="401"/>
      <c r="G69" s="403"/>
      <c r="H69" s="401"/>
      <c r="I69" s="403"/>
      <c r="J69" s="405"/>
      <c r="K69" s="403"/>
      <c r="L69" s="405"/>
      <c r="M69" s="403"/>
      <c r="N69" s="405"/>
      <c r="O69" s="404"/>
      <c r="P69" s="408"/>
      <c r="Q69" s="409"/>
      <c r="R69" s="405"/>
      <c r="S69" s="403"/>
      <c r="T69" s="486" t="s">
        <v>204</v>
      </c>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R69" s="346"/>
      <c r="BS69" s="346"/>
      <c r="BT69" s="346"/>
      <c r="BU69" s="346"/>
      <c r="BV69" s="346"/>
      <c r="BW69" s="346"/>
      <c r="BY69" s="6"/>
      <c r="BZ69" s="6"/>
      <c r="CA69" s="290"/>
      <c r="CB69" s="290"/>
      <c r="CC69" s="290"/>
      <c r="CD69" s="290"/>
      <c r="CE69" s="290"/>
      <c r="CF69" s="290"/>
      <c r="CG69" s="383" t="str">
        <f t="shared" si="106"/>
        <v/>
      </c>
      <c r="CH69" s="383" t="str">
        <f t="shared" si="107"/>
        <v/>
      </c>
      <c r="CI69" s="383" t="str">
        <f t="shared" si="108"/>
        <v/>
      </c>
      <c r="CJ69" s="383" t="str">
        <f t="shared" si="109"/>
        <v/>
      </c>
      <c r="CK69" s="290"/>
      <c r="CL69" s="290"/>
      <c r="CM69" s="290"/>
      <c r="CN69" s="290"/>
      <c r="CO69" s="290"/>
      <c r="CP69" s="290"/>
      <c r="CQ69" s="290"/>
      <c r="CR69" s="290"/>
      <c r="CS69" s="290"/>
      <c r="CT69" s="290"/>
      <c r="CU69" s="290"/>
      <c r="CV69" s="290"/>
      <c r="CW69" s="290"/>
      <c r="CX69" s="290"/>
      <c r="CY69" s="290"/>
      <c r="CZ69" s="290"/>
      <c r="DA69" s="290"/>
      <c r="DB69" s="290"/>
      <c r="DC69" s="290"/>
      <c r="DD69" s="142"/>
      <c r="DE69" s="142"/>
      <c r="DF69" s="142"/>
      <c r="DG69" s="142"/>
      <c r="DH69" s="142"/>
      <c r="DI69" s="385">
        <f t="shared" si="110"/>
        <v>0</v>
      </c>
      <c r="DJ69" s="385">
        <f t="shared" si="110"/>
        <v>0</v>
      </c>
      <c r="DK69" s="385">
        <f t="shared" si="111"/>
        <v>0</v>
      </c>
      <c r="DL69" s="385">
        <f t="shared" si="111"/>
        <v>0</v>
      </c>
      <c r="DM69" s="142"/>
      <c r="DN69" s="142"/>
      <c r="DO69" s="142"/>
      <c r="DP69" s="142"/>
      <c r="DQ69" s="142"/>
      <c r="DR69" s="142"/>
      <c r="DS69" s="142"/>
      <c r="DT69" s="142"/>
      <c r="DU69" s="142"/>
      <c r="DV69" s="142"/>
    </row>
    <row r="70" spans="1:126" ht="22.5" customHeight="1">
      <c r="A70" s="1873"/>
      <c r="B70" s="410" t="s">
        <v>194</v>
      </c>
      <c r="C70" s="468">
        <f>+D70+E70</f>
        <v>0</v>
      </c>
      <c r="D70" s="473">
        <f>+F70+H70+J70+L70+N70</f>
        <v>0</v>
      </c>
      <c r="E70" s="474">
        <f>+G70+I70+K70+M70+O70</f>
        <v>0</v>
      </c>
      <c r="F70" s="425">
        <f>SUM(F64:F69)</f>
        <v>0</v>
      </c>
      <c r="G70" s="428">
        <f t="shared" ref="G70:S70" si="112">SUM(G64:G69)</f>
        <v>0</v>
      </c>
      <c r="H70" s="425">
        <f t="shared" si="112"/>
        <v>0</v>
      </c>
      <c r="I70" s="428">
        <f t="shared" si="112"/>
        <v>0</v>
      </c>
      <c r="J70" s="429">
        <f t="shared" si="112"/>
        <v>0</v>
      </c>
      <c r="K70" s="428">
        <f t="shared" si="112"/>
        <v>0</v>
      </c>
      <c r="L70" s="429">
        <f t="shared" si="112"/>
        <v>0</v>
      </c>
      <c r="M70" s="428">
        <f t="shared" si="112"/>
        <v>0</v>
      </c>
      <c r="N70" s="429">
        <f t="shared" si="112"/>
        <v>0</v>
      </c>
      <c r="O70" s="427">
        <f t="shared" si="112"/>
        <v>0</v>
      </c>
      <c r="P70" s="432">
        <f t="shared" si="112"/>
        <v>0</v>
      </c>
      <c r="Q70" s="433">
        <f t="shared" si="112"/>
        <v>0</v>
      </c>
      <c r="R70" s="429">
        <f t="shared" si="112"/>
        <v>0</v>
      </c>
      <c r="S70" s="428">
        <f t="shared" si="112"/>
        <v>0</v>
      </c>
      <c r="T70" s="486"/>
      <c r="U70" s="6"/>
      <c r="V70" s="346"/>
      <c r="W70" s="346"/>
      <c r="X70" s="346"/>
      <c r="Y70" s="346"/>
      <c r="Z70" s="346"/>
      <c r="AA70" s="346"/>
      <c r="AB70" s="346"/>
      <c r="AC70" s="346"/>
      <c r="AD70" s="346"/>
      <c r="AE70" s="346"/>
      <c r="AF70" s="346"/>
      <c r="AG70" s="346"/>
      <c r="AH70" s="346"/>
      <c r="AI70" s="346"/>
      <c r="AJ70" s="6"/>
      <c r="AK70" s="6"/>
      <c r="AL70" s="6"/>
      <c r="AM70" s="6"/>
      <c r="AN70" s="6"/>
      <c r="AO70" s="6"/>
      <c r="AP70" s="6"/>
      <c r="AQ70" s="6"/>
      <c r="AR70" s="6"/>
      <c r="AS70" s="6"/>
      <c r="AT70" s="6"/>
      <c r="AU70" s="6"/>
      <c r="AV70" s="6"/>
      <c r="AW70" s="6"/>
      <c r="AX70" s="6"/>
      <c r="AY70" s="6"/>
      <c r="AZ70" s="6"/>
      <c r="BA70" s="6"/>
      <c r="BB70" s="6"/>
      <c r="BR70" s="346"/>
      <c r="BS70" s="346"/>
      <c r="BT70" s="346"/>
      <c r="BU70" s="346"/>
      <c r="BV70" s="346"/>
      <c r="BW70" s="346"/>
      <c r="BY70" s="6"/>
      <c r="BZ70" s="6"/>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142"/>
      <c r="DE70" s="142"/>
      <c r="DF70" s="142"/>
      <c r="DG70" s="142"/>
      <c r="DH70" s="142"/>
      <c r="DI70" s="142"/>
      <c r="DJ70" s="142"/>
      <c r="DK70" s="142"/>
      <c r="DL70" s="142"/>
      <c r="DM70" s="142"/>
      <c r="DN70" s="142"/>
      <c r="DO70" s="142"/>
      <c r="DP70" s="142"/>
      <c r="DQ70" s="142"/>
      <c r="DR70" s="142"/>
      <c r="DS70" s="142"/>
      <c r="DT70" s="142"/>
      <c r="DU70" s="142"/>
      <c r="DV70" s="142"/>
    </row>
    <row r="71" spans="1:126" ht="22.5" customHeight="1">
      <c r="A71" s="1873"/>
      <c r="B71" s="410" t="s">
        <v>195</v>
      </c>
      <c r="C71" s="468">
        <f t="shared" si="70"/>
        <v>0</v>
      </c>
      <c r="D71" s="473">
        <f>+F71+H71+J71+L71+N71</f>
        <v>0</v>
      </c>
      <c r="E71" s="474">
        <f>+G71+I71+K71+M71+O71</f>
        <v>0</v>
      </c>
      <c r="F71" s="373"/>
      <c r="G71" s="374"/>
      <c r="H71" s="373"/>
      <c r="I71" s="374"/>
      <c r="J71" s="380"/>
      <c r="K71" s="374"/>
      <c r="L71" s="380"/>
      <c r="M71" s="374"/>
      <c r="N71" s="380"/>
      <c r="O71" s="445"/>
      <c r="P71" s="378"/>
      <c r="Q71" s="379"/>
      <c r="R71" s="380"/>
      <c r="S71" s="374"/>
      <c r="T71" s="486" t="s">
        <v>204</v>
      </c>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R71" s="346"/>
      <c r="BS71" s="346"/>
      <c r="BT71" s="346"/>
      <c r="BU71" s="346"/>
      <c r="BV71" s="346"/>
      <c r="BW71" s="346"/>
      <c r="BY71" s="6"/>
      <c r="BZ71" s="6"/>
      <c r="CA71" s="290"/>
      <c r="CB71" s="290"/>
      <c r="CC71" s="290"/>
      <c r="CD71" s="290"/>
      <c r="CE71" s="290"/>
      <c r="CF71" s="290"/>
      <c r="CG71" s="383" t="str">
        <f>IF(AND(D71&gt;0,OR(P71=""))," * No olvide digitar la variable Pueblos Originarios Hombres (Digite Cero si no tiene).",IF(P71&gt;D71," * La variable Pueblos Originarios Hombres no puede ser Mayor al Total Hombres.",""))</f>
        <v/>
      </c>
      <c r="CH71" s="383" t="str">
        <f>IF(AND(E71&gt;0,OR(Q71=""))," * No olvide digitar la variable Pueblos Originarios Mujeres (Digite Cero si no tiene).",IF(Q71&gt;E71," * La variable Pueblos Originarios Mujeres no puede ser Mayor al Total Mujeres.",""))</f>
        <v/>
      </c>
      <c r="CI71" s="383" t="str">
        <f>IF(AND(D71&gt;0,OR(R71=""))," * No olvide digitar la variable Migrantes Hombres (Digite Cero si no tiene).",IF(R71&gt;D71," * La variable Migrantes Hombres no puede ser Mayor al Total Hombres.",""))</f>
        <v/>
      </c>
      <c r="CJ71" s="383" t="str">
        <f>IF(AND(E71&gt;0,OR(S71=""))," * No olvide digitar la variable Migrantes Mujeres (Digite Cero si no tiene).",IF(S71&gt;E71," * La variable Migrantes Mujeres no puede ser Mayor al Total Mujeres.",""))</f>
        <v/>
      </c>
      <c r="CK71" s="290"/>
      <c r="CL71" s="290"/>
      <c r="CM71" s="290"/>
      <c r="CN71" s="290"/>
      <c r="CO71" s="290"/>
      <c r="CP71" s="290"/>
      <c r="CQ71" s="290"/>
      <c r="CR71" s="290"/>
      <c r="CS71" s="290"/>
      <c r="CT71" s="290"/>
      <c r="CU71" s="290"/>
      <c r="CV71" s="290"/>
      <c r="CW71" s="290"/>
      <c r="CX71" s="290"/>
      <c r="CY71" s="290"/>
      <c r="CZ71" s="290"/>
      <c r="DA71" s="290"/>
      <c r="DB71" s="290"/>
      <c r="DC71" s="290"/>
      <c r="DD71" s="142"/>
      <c r="DE71" s="142"/>
      <c r="DF71" s="142"/>
      <c r="DG71" s="142"/>
      <c r="DH71" s="142"/>
      <c r="DI71" s="385">
        <f>IF(AND(D71&gt;0,OR(P71="")),1,IF(P71&gt;D71,1,0))</f>
        <v>0</v>
      </c>
      <c r="DJ71" s="385">
        <f>IF(AND(E71&gt;0,OR(Q71="")),1,IF(Q71&gt;E71,1,0))</f>
        <v>0</v>
      </c>
      <c r="DK71" s="385">
        <f>IF(AND(D71&gt;0,OR(R71="")),1,IF(R71&gt;D71,1,0))</f>
        <v>0</v>
      </c>
      <c r="DL71" s="385">
        <f>IF(AND(E71&gt;0,OR(S71="")),1,IF(S71&gt;E71,1,0))</f>
        <v>0</v>
      </c>
      <c r="DM71" s="142"/>
      <c r="DN71" s="142"/>
      <c r="DO71" s="142"/>
      <c r="DP71" s="142"/>
      <c r="DQ71" s="142"/>
      <c r="DR71" s="142"/>
      <c r="DS71" s="142"/>
      <c r="DT71" s="142"/>
      <c r="DU71" s="142"/>
      <c r="DV71" s="142"/>
    </row>
    <row r="72" spans="1:126" ht="22.5" customHeight="1">
      <c r="A72" s="1874"/>
      <c r="B72" s="410" t="s">
        <v>215</v>
      </c>
      <c r="C72" s="416">
        <f>SUM(D72:E72)</f>
        <v>0</v>
      </c>
      <c r="D72" s="412">
        <f t="shared" ref="D72:S72" si="113">SUM(D64:D69)+D71</f>
        <v>0</v>
      </c>
      <c r="E72" s="474">
        <f t="shared" si="113"/>
        <v>0</v>
      </c>
      <c r="F72" s="425">
        <f t="shared" si="113"/>
        <v>0</v>
      </c>
      <c r="G72" s="428">
        <f t="shared" si="113"/>
        <v>0</v>
      </c>
      <c r="H72" s="425">
        <f t="shared" si="113"/>
        <v>0</v>
      </c>
      <c r="I72" s="428">
        <f t="shared" si="113"/>
        <v>0</v>
      </c>
      <c r="J72" s="429">
        <f t="shared" si="113"/>
        <v>0</v>
      </c>
      <c r="K72" s="428">
        <f t="shared" si="113"/>
        <v>0</v>
      </c>
      <c r="L72" s="429">
        <f t="shared" si="113"/>
        <v>0</v>
      </c>
      <c r="M72" s="428">
        <f t="shared" si="113"/>
        <v>0</v>
      </c>
      <c r="N72" s="429">
        <f t="shared" si="113"/>
        <v>0</v>
      </c>
      <c r="O72" s="427">
        <f t="shared" si="113"/>
        <v>0</v>
      </c>
      <c r="P72" s="432">
        <f>SUM(P64:P69)+P71</f>
        <v>0</v>
      </c>
      <c r="Q72" s="433">
        <f t="shared" si="113"/>
        <v>0</v>
      </c>
      <c r="R72" s="429">
        <f t="shared" si="113"/>
        <v>0</v>
      </c>
      <c r="S72" s="428">
        <f t="shared" si="113"/>
        <v>0</v>
      </c>
      <c r="T72" s="486"/>
      <c r="U72" s="6"/>
      <c r="V72" s="346"/>
      <c r="W72" s="346"/>
      <c r="X72" s="346"/>
      <c r="Y72" s="346"/>
      <c r="Z72" s="346"/>
      <c r="AA72" s="346"/>
      <c r="AB72" s="346"/>
      <c r="AC72" s="346"/>
      <c r="AD72" s="346"/>
      <c r="AE72" s="346"/>
      <c r="AF72" s="346"/>
      <c r="AG72" s="346"/>
      <c r="AH72" s="346"/>
      <c r="AI72" s="346"/>
      <c r="AJ72" s="6"/>
      <c r="AK72" s="6"/>
      <c r="AL72" s="6"/>
      <c r="AM72" s="6"/>
      <c r="AN72" s="6"/>
      <c r="AO72" s="6"/>
      <c r="AP72" s="6"/>
      <c r="AQ72" s="6"/>
      <c r="AR72" s="6"/>
      <c r="AS72" s="6"/>
      <c r="AT72" s="6"/>
      <c r="AU72" s="6"/>
      <c r="AV72" s="6"/>
      <c r="AW72" s="6"/>
      <c r="AX72" s="6"/>
      <c r="AY72" s="6"/>
      <c r="AZ72" s="6"/>
      <c r="BA72" s="6"/>
      <c r="BB72" s="6"/>
      <c r="BR72" s="346"/>
      <c r="BS72" s="346"/>
      <c r="BT72" s="346"/>
      <c r="BU72" s="346"/>
      <c r="BV72" s="346"/>
      <c r="BW72" s="346"/>
      <c r="BY72" s="6"/>
      <c r="BZ72" s="6"/>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142"/>
      <c r="DE72" s="142"/>
      <c r="DF72" s="142"/>
      <c r="DG72" s="142"/>
      <c r="DH72" s="142"/>
      <c r="DI72" s="142"/>
      <c r="DJ72" s="142"/>
      <c r="DK72" s="142"/>
      <c r="DL72" s="142"/>
      <c r="DM72" s="142"/>
      <c r="DN72" s="142"/>
      <c r="DO72" s="142"/>
      <c r="DP72" s="142"/>
      <c r="DQ72" s="142"/>
      <c r="DR72" s="142"/>
      <c r="DS72" s="142"/>
      <c r="DT72" s="142"/>
      <c r="DU72" s="142"/>
      <c r="DV72" s="142"/>
    </row>
    <row r="73" spans="1:126" ht="31.15" customHeight="1">
      <c r="A73" s="1875" t="s">
        <v>196</v>
      </c>
      <c r="B73" s="1876"/>
      <c r="C73" s="472">
        <f>SUM(D73:E73)</f>
        <v>0</v>
      </c>
      <c r="D73" s="473">
        <f>+F73+H73+J73+L73+N73</f>
        <v>0</v>
      </c>
      <c r="E73" s="474">
        <f>+G73+I73+K73+M73+O73</f>
        <v>0</v>
      </c>
      <c r="F73" s="373"/>
      <c r="G73" s="374"/>
      <c r="H73" s="373"/>
      <c r="I73" s="374"/>
      <c r="J73" s="380"/>
      <c r="K73" s="374"/>
      <c r="L73" s="380"/>
      <c r="M73" s="374"/>
      <c r="N73" s="380"/>
      <c r="O73" s="445"/>
      <c r="P73" s="378"/>
      <c r="Q73" s="379"/>
      <c r="R73" s="380"/>
      <c r="S73" s="374"/>
      <c r="T73" s="486" t="s">
        <v>204</v>
      </c>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R73" s="346"/>
      <c r="BS73" s="346"/>
      <c r="BT73" s="346"/>
      <c r="BU73" s="346"/>
      <c r="BV73" s="346"/>
      <c r="BW73" s="346"/>
      <c r="BY73" s="6"/>
      <c r="BZ73" s="6"/>
      <c r="CA73" s="290"/>
      <c r="CB73" s="290"/>
      <c r="CC73" s="290"/>
      <c r="CD73" s="290"/>
      <c r="CE73" s="290"/>
      <c r="CF73" s="290"/>
      <c r="CG73" s="383" t="str">
        <f>IF(AND(D73&gt;0,OR(P73=""))," * No olvide digitar la variable Pueblos Originarios Hombres (Digite Cero si no tiene).",IF(P73&gt;D73," * La variable Pueblos Originarios Hombres no puede ser Mayor al Total Hombres.",""))</f>
        <v/>
      </c>
      <c r="CH73" s="383" t="str">
        <f>IF(AND(E73&gt;0,OR(Q73=""))," * No olvide digitar la variable Pueblos Originarios Mujeres (Digite Cero si no tiene).",IF(Q73&gt;E73," * La variable Pueblos Originarios Mujeres no puede ser Mayor al Total Mujeres.",""))</f>
        <v/>
      </c>
      <c r="CI73" s="383" t="str">
        <f>IF(AND(D73&gt;0,OR(R73=""))," * No olvide digitar la variable Migrantes Hombres (Digite Cero si no tiene).",IF(R73&gt;D73," * La variable Migrantes Hombres no puede ser Mayor al Total Hombres.",""))</f>
        <v/>
      </c>
      <c r="CJ73" s="383" t="str">
        <f>IF(AND(E73&gt;0,OR(S73=""))," * No olvide digitar la variable Migrantes Mujeres (Digite Cero si no tiene).",IF(S73&gt;E73," * La variable Migrantes Mujeres no puede ser Mayor al Total Mujeres.",""))</f>
        <v/>
      </c>
      <c r="CK73" s="290"/>
      <c r="CL73" s="290"/>
      <c r="CM73" s="290"/>
      <c r="CN73" s="290"/>
      <c r="CO73" s="290"/>
      <c r="CP73" s="290"/>
      <c r="CQ73" s="290"/>
      <c r="CR73" s="290"/>
      <c r="CS73" s="290"/>
      <c r="CT73" s="290"/>
      <c r="CU73" s="290"/>
      <c r="CV73" s="290"/>
      <c r="CW73" s="290"/>
      <c r="CX73" s="290"/>
      <c r="CY73" s="290"/>
      <c r="CZ73" s="290"/>
      <c r="DA73" s="290"/>
      <c r="DB73" s="290"/>
      <c r="DC73" s="290"/>
      <c r="DD73" s="142"/>
      <c r="DE73" s="142"/>
      <c r="DF73" s="142"/>
      <c r="DG73" s="142"/>
      <c r="DH73" s="142"/>
      <c r="DI73" s="385">
        <f>IF(AND(D73&gt;0,OR(P73="")),1,IF(P73&gt;D73,1,0))</f>
        <v>0</v>
      </c>
      <c r="DJ73" s="385">
        <f>IF(AND(E73&gt;0,OR(Q73="")),1,IF(Q73&gt;E73,1,0))</f>
        <v>0</v>
      </c>
      <c r="DK73" s="385">
        <f>IF(AND(D73&gt;0,OR(R73="")),1,IF(R73&gt;D73,1,0))</f>
        <v>0</v>
      </c>
      <c r="DL73" s="385">
        <f>IF(AND(E73&gt;0,OR(S73="")),1,IF(S73&gt;E73,1,0))</f>
        <v>0</v>
      </c>
      <c r="DM73" s="142"/>
      <c r="DN73" s="142"/>
      <c r="DO73" s="142"/>
      <c r="DP73" s="142"/>
      <c r="DQ73" s="142"/>
      <c r="DR73" s="142"/>
      <c r="DS73" s="142"/>
      <c r="DT73" s="142"/>
      <c r="DU73" s="142"/>
      <c r="DV73" s="142"/>
    </row>
    <row r="74" spans="1:126" ht="15.75" customHeight="1">
      <c r="A74" s="1877" t="s">
        <v>216</v>
      </c>
      <c r="B74" s="1877"/>
      <c r="C74" s="1877"/>
      <c r="D74" s="1877"/>
      <c r="E74" s="1877"/>
      <c r="F74" s="1877"/>
      <c r="G74" s="1877"/>
      <c r="H74" s="1877"/>
      <c r="I74" s="1877"/>
      <c r="J74" s="1877"/>
      <c r="K74" s="1877"/>
      <c r="L74" s="1877"/>
      <c r="M74" s="1877"/>
      <c r="N74" s="1877"/>
      <c r="O74" s="1877"/>
      <c r="P74" s="1877"/>
      <c r="Q74" s="1877"/>
      <c r="R74" s="1877"/>
      <c r="S74" s="1877"/>
      <c r="T74" s="1877"/>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CA74" s="476"/>
    </row>
    <row r="75" spans="1:126" ht="24" customHeight="1">
      <c r="A75" s="518" t="s">
        <v>217</v>
      </c>
      <c r="B75" s="519"/>
      <c r="C75" s="519"/>
      <c r="D75" s="519"/>
      <c r="E75" s="519"/>
      <c r="F75" s="3"/>
      <c r="G75" s="7"/>
      <c r="H75" s="5"/>
      <c r="I75" s="5"/>
      <c r="J75" s="5"/>
      <c r="K75" s="475"/>
      <c r="L75" s="475"/>
      <c r="M75" s="475"/>
      <c r="N75" s="47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row>
    <row r="76" spans="1:126" ht="50.5" customHeight="1">
      <c r="A76" s="1679" t="s">
        <v>218</v>
      </c>
      <c r="B76" s="1680"/>
      <c r="C76" s="520" t="s">
        <v>5</v>
      </c>
      <c r="D76" s="521" t="s">
        <v>42</v>
      </c>
      <c r="E76" s="137" t="s">
        <v>179</v>
      </c>
      <c r="F76" s="326" t="s">
        <v>7</v>
      </c>
      <c r="G76" s="324" t="s">
        <v>58</v>
      </c>
      <c r="H76" s="5"/>
      <c r="I76" s="5"/>
      <c r="J76" s="523"/>
      <c r="K76" s="523"/>
      <c r="L76" s="523"/>
      <c r="M76" s="524"/>
      <c r="N76" s="524"/>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346"/>
      <c r="BQ76" s="5"/>
    </row>
    <row r="77" spans="1:126" ht="15.75" customHeight="1">
      <c r="A77" s="1739" t="s">
        <v>152</v>
      </c>
      <c r="B77" s="525" t="s">
        <v>219</v>
      </c>
      <c r="C77" s="22">
        <f>SUM(D77:E77)</f>
        <v>0</v>
      </c>
      <c r="D77" s="57"/>
      <c r="E77" s="526"/>
      <c r="F77" s="54"/>
      <c r="G77" s="54"/>
      <c r="H77" s="527" t="str">
        <f>CF77&amp;CG77&amp;CH77&amp;CI77&amp;CJ77&amp;CK77</f>
        <v/>
      </c>
      <c r="I77" s="346"/>
      <c r="J77" s="346"/>
      <c r="K77" s="346"/>
      <c r="L77" s="346"/>
      <c r="M77" s="346"/>
      <c r="N77" s="346"/>
      <c r="O77" s="346"/>
      <c r="P77" s="346"/>
      <c r="Q77" s="346"/>
      <c r="R77" s="346"/>
      <c r="S77" s="346"/>
      <c r="U77" s="346"/>
      <c r="V77" s="346"/>
      <c r="W77" s="6"/>
      <c r="X77" s="6"/>
      <c r="AV77" s="346"/>
      <c r="BQ77" s="5"/>
      <c r="BR77" s="6"/>
      <c r="BS77" s="6"/>
      <c r="BT77" s="6"/>
      <c r="CA77" s="290"/>
      <c r="CB77" s="290"/>
      <c r="CC77" s="290"/>
      <c r="CD77" s="290"/>
      <c r="CE77" s="290"/>
      <c r="CF77" s="383" t="str">
        <f>IF(SUM(F11,H11,J11,L11,N11,P11,R11,T11)&lt;SUM(D77,D84,D91,D98),"* La suma de Población Hombre Menor de 12 meses según resultado de Evaluación no puede ser mayor que la Población Hombres bajo control de la sección A. ","")</f>
        <v/>
      </c>
      <c r="CG77" s="383" t="str">
        <f>IF(SUM(G11,I11,K11,M11,O11,Q11,S11,U11)&lt;SUM(E77,E84,E91,E98),"* La suma de Población Mujeres Menor de 12 meses según resultado de Evaluación no puede ser mayor que la Población Mujeres bajo control de la sección A. ","")</f>
        <v/>
      </c>
      <c r="CH77" s="383" t="str">
        <f>IF(AND(C77&gt;0,OR(F77=""))," * No olvide digitar la variable Pueblos Originarios (Digite Cero si no tiene).",IF(F77&gt;C77," * La variable Pueblos Originarios no puede ser Mayor al Total.",""))</f>
        <v/>
      </c>
      <c r="CI77" s="383" t="str">
        <f>IF(AND(C77&gt;0,OR(G77=""))," * No olvide digitar la variable Migrantes (Digite Cero si no tiene).",IF(G77&gt;C77," * La variable Migrantes no puede ser Mayor al Total.",""))</f>
        <v/>
      </c>
      <c r="CJ77" s="383"/>
      <c r="CK77" s="383"/>
      <c r="CL77" s="355"/>
      <c r="CM77" s="355"/>
      <c r="CN77" s="355"/>
      <c r="CO77" s="355"/>
      <c r="CP77" s="355"/>
      <c r="CQ77" s="355"/>
      <c r="CR77" s="355"/>
      <c r="CS77" s="355"/>
      <c r="CT77" s="355"/>
      <c r="CU77" s="355"/>
      <c r="CV77" s="355"/>
      <c r="CW77" s="355"/>
      <c r="CX77" s="355"/>
      <c r="CY77" s="355"/>
      <c r="CZ77" s="355"/>
      <c r="DA77" s="355"/>
      <c r="DB77" s="290"/>
      <c r="DC77" s="290"/>
      <c r="DD77" s="385">
        <f>IF(SUM(F11,H11,J11,L11,N11,P11,R11,T11)&lt;SUM(D77,D84,D91,D98),1,0)</f>
        <v>0</v>
      </c>
      <c r="DE77" s="385">
        <f>IF(SUM(G11,I11,K11,M11,O11,Q11,S11,U11)&lt;SUM(E77,E84,E91,E98),1,0)</f>
        <v>0</v>
      </c>
      <c r="DF77" s="385">
        <f>IF(F77&gt;$C77,1,0)</f>
        <v>0</v>
      </c>
      <c r="DG77" s="385">
        <f>IF(G77&gt;$C77,1,0)</f>
        <v>0</v>
      </c>
      <c r="DH77" s="385">
        <f>IF(AND($C77&lt;&gt;0,F77=""),1,0)</f>
        <v>0</v>
      </c>
      <c r="DI77" s="385">
        <f>IF(AND($C77&lt;&gt;0,G77=""),1,0)</f>
        <v>0</v>
      </c>
      <c r="DJ77" s="142"/>
      <c r="DK77" s="142"/>
      <c r="DL77" s="142"/>
      <c r="DM77" s="142"/>
      <c r="DN77" s="142"/>
      <c r="DO77" s="142"/>
      <c r="DP77" s="142"/>
      <c r="DQ77" s="142"/>
      <c r="DR77" s="142"/>
      <c r="DS77" s="142"/>
      <c r="DT77" s="142"/>
      <c r="DU77" s="142"/>
      <c r="DV77" s="142"/>
    </row>
    <row r="78" spans="1:126" ht="15.75" customHeight="1">
      <c r="A78" s="1864"/>
      <c r="B78" s="528" t="s">
        <v>172</v>
      </c>
      <c r="C78" s="69">
        <f t="shared" ref="C78:C101" si="114">SUM(D78:E78)</f>
        <v>0</v>
      </c>
      <c r="D78" s="57"/>
      <c r="E78" s="526"/>
      <c r="F78" s="54"/>
      <c r="G78" s="60"/>
      <c r="H78" s="527" t="str">
        <f t="shared" ref="H78:H104" si="115">CF78&amp;CG78&amp;CH78&amp;CI78&amp;CJ78&amp;CK78</f>
        <v/>
      </c>
      <c r="J78" s="529"/>
      <c r="K78" s="529"/>
      <c r="L78" s="529"/>
      <c r="M78" s="529"/>
      <c r="N78" s="529"/>
      <c r="AV78" s="346"/>
      <c r="BQ78" s="5"/>
      <c r="BR78" s="6"/>
      <c r="BS78" s="6"/>
      <c r="BT78" s="6"/>
      <c r="CA78" s="290"/>
      <c r="CB78" s="290"/>
      <c r="CC78" s="290"/>
      <c r="CD78" s="290"/>
      <c r="CE78" s="290"/>
      <c r="CF78" s="383" t="str">
        <f>IF(SUM(V11)&lt;SUM(D78,D85,D92,D99),"* La suma de Población Hombre de 12 a 17 meses según resultado de Evaluación no puede ser mayor que la Población Hombres bajo control de la sección A. ","")</f>
        <v/>
      </c>
      <c r="CG78" s="383" t="str">
        <f>IF(SUM(W11)&lt;SUM(E78,E85,E92,E99),"* La suma de Población Mujer 12 a 17 meses según resultado de Evaluación no puede ser mayor que la Población Mujer bajo control de la sección A. ","")</f>
        <v/>
      </c>
      <c r="CH78" s="383" t="str">
        <f t="shared" ref="CH78:CH104" si="116">IF(AND(C78&gt;0,OR(F78=""))," * No olvide digitar la variable Pueblos Originarios (Digite Cero si no tiene).",IF(F78&gt;C78," * La variable Pueblos Originarios no puede ser Mayor al Total.",""))</f>
        <v/>
      </c>
      <c r="CI78" s="383" t="str">
        <f t="shared" ref="CI78:CI104" si="117">IF(AND(C78&gt;0,OR(G78=""))," * No olvide digitar la variable Migrantes (Digite Cero si no tiene).",IF(G78&gt;C78," * La variable Migrantes no puede ser Mayor al Total.",""))</f>
        <v/>
      </c>
      <c r="CJ78" s="383"/>
      <c r="CK78" s="383"/>
      <c r="CL78" s="355"/>
      <c r="CM78" s="355"/>
      <c r="CN78" s="355"/>
      <c r="CO78" s="355"/>
      <c r="CP78" s="355"/>
      <c r="CQ78" s="355"/>
      <c r="CR78" s="355"/>
      <c r="CS78" s="355"/>
      <c r="CT78" s="355"/>
      <c r="CU78" s="355"/>
      <c r="CV78" s="355"/>
      <c r="CW78" s="355"/>
      <c r="CX78" s="355"/>
      <c r="CY78" s="355"/>
      <c r="CZ78" s="355"/>
      <c r="DA78" s="355"/>
      <c r="DB78" s="290"/>
      <c r="DC78" s="290"/>
      <c r="DD78" s="385">
        <f>IF(V$11&lt;SUM(D78,D85,D92,D99),1,0)</f>
        <v>0</v>
      </c>
      <c r="DE78" s="385">
        <f>IF(W$11&lt;SUM(E78,E85,E92,E99),1,0)</f>
        <v>0</v>
      </c>
      <c r="DF78" s="385">
        <f t="shared" ref="DF78:DG104" si="118">IF(F78&gt;$C78,1,0)</f>
        <v>0</v>
      </c>
      <c r="DG78" s="385">
        <f t="shared" si="118"/>
        <v>0</v>
      </c>
      <c r="DH78" s="385">
        <f t="shared" ref="DH78:DI104" si="119">IF(AND($C78&lt;&gt;0,F78=""),1,0)</f>
        <v>0</v>
      </c>
      <c r="DI78" s="385">
        <f t="shared" si="119"/>
        <v>0</v>
      </c>
      <c r="DJ78" s="142"/>
      <c r="DK78" s="142"/>
      <c r="DL78" s="142"/>
      <c r="DM78" s="142"/>
      <c r="DN78" s="142"/>
      <c r="DO78" s="142"/>
      <c r="DP78" s="142"/>
      <c r="DQ78" s="142"/>
      <c r="DR78" s="142"/>
      <c r="DS78" s="142"/>
      <c r="DT78" s="142"/>
      <c r="DU78" s="142"/>
      <c r="DV78" s="142"/>
    </row>
    <row r="79" spans="1:126" ht="15.75" customHeight="1">
      <c r="A79" s="1865"/>
      <c r="B79" s="528" t="s">
        <v>173</v>
      </c>
      <c r="C79" s="69">
        <f t="shared" si="114"/>
        <v>0</v>
      </c>
      <c r="D79" s="57"/>
      <c r="E79" s="526"/>
      <c r="F79" s="54"/>
      <c r="G79" s="60"/>
      <c r="H79" s="527" t="str">
        <f t="shared" si="115"/>
        <v/>
      </c>
      <c r="J79" s="529"/>
      <c r="K79" s="529"/>
      <c r="L79" s="529"/>
      <c r="M79" s="529"/>
      <c r="N79" s="529"/>
      <c r="AV79" s="346"/>
      <c r="BQ79" s="5"/>
      <c r="BR79" s="6"/>
      <c r="BS79" s="6"/>
      <c r="BT79" s="6"/>
      <c r="CA79" s="290"/>
      <c r="CB79" s="290"/>
      <c r="CC79" s="290"/>
      <c r="CD79" s="290"/>
      <c r="CE79" s="290"/>
      <c r="CF79" s="383" t="str">
        <f>IF(SUM(X11)&lt;SUM(D79,D86,D93,D100),"* La suma de Población Hombre 18 a 23 meses según resultado de Evaluación no puede ser mayor que la Población Hombres bajo control de la sección A. ","")</f>
        <v/>
      </c>
      <c r="CG79" s="383" t="str">
        <f>IF(SUM(Y11)&lt;SUM(E79,E86,E93,E100),"* La suma de Población Mujer de 18 a 23 meses según resultado de Evaluación no puede ser mayor que la Población Mujer bajo control de la sección A. ","")</f>
        <v/>
      </c>
      <c r="CH79" s="383" t="str">
        <f t="shared" si="116"/>
        <v/>
      </c>
      <c r="CI79" s="383" t="str">
        <f t="shared" si="117"/>
        <v/>
      </c>
      <c r="CJ79" s="383"/>
      <c r="CK79" s="383"/>
      <c r="CL79" s="355"/>
      <c r="CM79" s="355"/>
      <c r="CN79" s="355"/>
      <c r="CO79" s="355"/>
      <c r="CP79" s="355"/>
      <c r="CQ79" s="355"/>
      <c r="CR79" s="355"/>
      <c r="CS79" s="355"/>
      <c r="CT79" s="355"/>
      <c r="CU79" s="355"/>
      <c r="CV79" s="355"/>
      <c r="CW79" s="355"/>
      <c r="CX79" s="355"/>
      <c r="CY79" s="355"/>
      <c r="CZ79" s="355"/>
      <c r="DA79" s="355"/>
      <c r="DB79" s="290"/>
      <c r="DC79" s="290"/>
      <c r="DD79" s="385">
        <f>IF(X$11&lt;SUM(D79,D86,D93,D100),1,0)</f>
        <v>0</v>
      </c>
      <c r="DE79" s="385">
        <f>IF(Y$11&lt;SUM(E79,E86,E93,E100),1,0)</f>
        <v>0</v>
      </c>
      <c r="DF79" s="385">
        <f t="shared" si="118"/>
        <v>0</v>
      </c>
      <c r="DG79" s="385">
        <f t="shared" si="118"/>
        <v>0</v>
      </c>
      <c r="DH79" s="385">
        <f t="shared" si="119"/>
        <v>0</v>
      </c>
      <c r="DI79" s="385">
        <f t="shared" si="119"/>
        <v>0</v>
      </c>
      <c r="DJ79" s="142"/>
      <c r="DK79" s="142"/>
      <c r="DL79" s="142"/>
      <c r="DM79" s="142"/>
      <c r="DN79" s="142"/>
      <c r="DO79" s="142"/>
      <c r="DP79" s="142"/>
      <c r="DQ79" s="142"/>
      <c r="DR79" s="142"/>
      <c r="DS79" s="142"/>
      <c r="DT79" s="142"/>
      <c r="DU79" s="142"/>
      <c r="DV79" s="142"/>
    </row>
    <row r="80" spans="1:126" ht="15.75" customHeight="1">
      <c r="A80" s="1865"/>
      <c r="B80" s="528" t="s">
        <v>174</v>
      </c>
      <c r="C80" s="69">
        <f t="shared" si="114"/>
        <v>0</v>
      </c>
      <c r="D80" s="57"/>
      <c r="E80" s="526"/>
      <c r="F80" s="54"/>
      <c r="G80" s="60"/>
      <c r="H80" s="527" t="str">
        <f t="shared" si="115"/>
        <v/>
      </c>
      <c r="J80" s="529"/>
      <c r="K80" s="529"/>
      <c r="L80" s="529"/>
      <c r="M80" s="529"/>
      <c r="N80" s="529"/>
      <c r="AV80" s="346"/>
      <c r="BQ80" s="5"/>
      <c r="BR80" s="6"/>
      <c r="BS80" s="6"/>
      <c r="BT80" s="6"/>
      <c r="CA80" s="290"/>
      <c r="CB80" s="290"/>
      <c r="CC80" s="290"/>
      <c r="CD80" s="290"/>
      <c r="CE80" s="290"/>
      <c r="CF80" s="383" t="str">
        <f>IF(SUM(Z11)&lt;SUM(D80,D87,D94,D101),"* La suma de Población Hombre 24 a 35 meses según resultado de Evaluación no puede ser mayor que la Población Hombres bajo control de la sección A. ","")</f>
        <v/>
      </c>
      <c r="CG80" s="383" t="str">
        <f>IF(SUM(AA11)&lt;SUM(E80,E87,E94,E101),"* La suma de Población Hombre 24 a 35 meses según resultado de Evaluación no puede ser mayor que la Población Hombres bajo control de la sección A. ","")</f>
        <v/>
      </c>
      <c r="CH80" s="383" t="str">
        <f t="shared" si="116"/>
        <v/>
      </c>
      <c r="CI80" s="383" t="str">
        <f t="shared" si="117"/>
        <v/>
      </c>
      <c r="CJ80" s="383"/>
      <c r="CK80" s="383"/>
      <c r="CL80" s="355"/>
      <c r="CM80" s="355"/>
      <c r="CN80" s="355"/>
      <c r="CO80" s="355"/>
      <c r="CP80" s="355"/>
      <c r="CQ80" s="355"/>
      <c r="CR80" s="355"/>
      <c r="CS80" s="355"/>
      <c r="CT80" s="355"/>
      <c r="CU80" s="355"/>
      <c r="CV80" s="355"/>
      <c r="CW80" s="355"/>
      <c r="CX80" s="355"/>
      <c r="CY80" s="355"/>
      <c r="CZ80" s="355"/>
      <c r="DA80" s="355"/>
      <c r="DB80" s="290"/>
      <c r="DC80" s="290"/>
      <c r="DD80" s="385">
        <f>IF(Z$11&lt;SUM(D80,D87,D94,D101),1,0)</f>
        <v>0</v>
      </c>
      <c r="DE80" s="385">
        <f>IF(AA$11&lt;SUM(E80,E87,E94,E101),1,0)</f>
        <v>0</v>
      </c>
      <c r="DF80" s="385">
        <f t="shared" si="118"/>
        <v>0</v>
      </c>
      <c r="DG80" s="385">
        <f t="shared" si="118"/>
        <v>0</v>
      </c>
      <c r="DH80" s="385">
        <f t="shared" si="119"/>
        <v>0</v>
      </c>
      <c r="DI80" s="385">
        <f t="shared" si="119"/>
        <v>0</v>
      </c>
      <c r="DJ80" s="142"/>
      <c r="DK80" s="142"/>
      <c r="DL80" s="142"/>
      <c r="DM80" s="142"/>
      <c r="DN80" s="142"/>
      <c r="DO80" s="142"/>
      <c r="DP80" s="142"/>
      <c r="DQ80" s="142"/>
      <c r="DR80" s="142"/>
      <c r="DS80" s="142"/>
      <c r="DT80" s="142"/>
      <c r="DU80" s="142"/>
      <c r="DV80" s="142"/>
    </row>
    <row r="81" spans="1:126" ht="15.75" customHeight="1">
      <c r="A81" s="1865"/>
      <c r="B81" s="530" t="s">
        <v>175</v>
      </c>
      <c r="C81" s="176">
        <f t="shared" si="114"/>
        <v>0</v>
      </c>
      <c r="D81" s="64"/>
      <c r="E81" s="531"/>
      <c r="F81" s="61"/>
      <c r="G81" s="67"/>
      <c r="H81" s="527" t="str">
        <f t="shared" si="115"/>
        <v/>
      </c>
      <c r="J81" s="529"/>
      <c r="K81" s="529"/>
      <c r="L81" s="529"/>
      <c r="M81" s="529"/>
      <c r="N81" s="529"/>
      <c r="AV81" s="346"/>
      <c r="BQ81" s="5"/>
      <c r="BR81" s="6"/>
      <c r="BS81" s="6"/>
      <c r="BT81" s="6"/>
      <c r="CA81" s="290"/>
      <c r="CB81" s="290"/>
      <c r="CC81" s="290"/>
      <c r="CD81" s="290"/>
      <c r="CE81" s="290"/>
      <c r="CF81" s="383" t="str">
        <f>IF(SUM(AB11)&lt;SUM(D81,D88,D95,D102),"* La suma de Población Hombre 36 a 41 meses según resultado de Evaluación no puede ser mayor que la Población Hombres bajo control de la sección A. ","")</f>
        <v/>
      </c>
      <c r="CG81" s="383" t="str">
        <f>IF(SUM(AC11)&lt;SUM(E81,E88,E95,E102),"* La suma de Población Hombre 36 a 41 meses según resultado de Evaluación no puede ser mayor que la Población Hombres bajo control de la sección A. ","")</f>
        <v/>
      </c>
      <c r="CH81" s="383" t="str">
        <f t="shared" si="116"/>
        <v/>
      </c>
      <c r="CI81" s="383" t="str">
        <f t="shared" si="117"/>
        <v/>
      </c>
      <c r="CJ81" s="383"/>
      <c r="CK81" s="383"/>
      <c r="CL81" s="355"/>
      <c r="CM81" s="355"/>
      <c r="CN81" s="355"/>
      <c r="CO81" s="355"/>
      <c r="CP81" s="355"/>
      <c r="CQ81" s="355"/>
      <c r="CR81" s="355"/>
      <c r="CS81" s="355"/>
      <c r="CT81" s="355"/>
      <c r="CU81" s="355"/>
      <c r="CV81" s="355"/>
      <c r="CW81" s="355"/>
      <c r="CX81" s="355"/>
      <c r="CY81" s="355"/>
      <c r="CZ81" s="355"/>
      <c r="DA81" s="355"/>
      <c r="DB81" s="290"/>
      <c r="DC81" s="290"/>
      <c r="DD81" s="385">
        <f>IF(AB$11&lt;SUM(D81,D88,D95,D102),1,0)</f>
        <v>0</v>
      </c>
      <c r="DE81" s="385">
        <f>IF(AC$11&lt;SUM(E81,E88,E95,E102),1,0)</f>
        <v>0</v>
      </c>
      <c r="DF81" s="385">
        <f t="shared" si="118"/>
        <v>0</v>
      </c>
      <c r="DG81" s="385">
        <f t="shared" si="118"/>
        <v>0</v>
      </c>
      <c r="DH81" s="385">
        <f t="shared" si="119"/>
        <v>0</v>
      </c>
      <c r="DI81" s="385">
        <f t="shared" si="119"/>
        <v>0</v>
      </c>
      <c r="DJ81" s="142"/>
      <c r="DK81" s="142"/>
      <c r="DL81" s="142"/>
      <c r="DM81" s="142"/>
      <c r="DN81" s="142"/>
      <c r="DO81" s="142"/>
      <c r="DP81" s="142"/>
      <c r="DQ81" s="142"/>
      <c r="DR81" s="142"/>
      <c r="DS81" s="142"/>
      <c r="DT81" s="142"/>
      <c r="DU81" s="142"/>
      <c r="DV81" s="142"/>
    </row>
    <row r="82" spans="1:126" ht="15.75" customHeight="1">
      <c r="A82" s="1865"/>
      <c r="B82" s="530" t="s">
        <v>176</v>
      </c>
      <c r="C82" s="176">
        <f>SUM(D82:E82)</f>
        <v>0</v>
      </c>
      <c r="D82" s="64"/>
      <c r="E82" s="531"/>
      <c r="F82" s="61"/>
      <c r="G82" s="67"/>
      <c r="H82" s="527" t="str">
        <f>CF82&amp;CG82&amp;CH82&amp;CI82&amp;CJ82&amp;CK82</f>
        <v/>
      </c>
      <c r="J82" s="529"/>
      <c r="K82" s="529"/>
      <c r="L82" s="529"/>
      <c r="M82" s="529"/>
      <c r="N82" s="529"/>
      <c r="AV82" s="346"/>
      <c r="BQ82" s="5"/>
      <c r="BR82" s="6"/>
      <c r="BS82" s="6"/>
      <c r="BT82" s="6"/>
      <c r="CA82" s="290"/>
      <c r="CB82" s="290"/>
      <c r="CC82" s="290"/>
      <c r="CD82" s="290"/>
      <c r="CE82" s="290"/>
      <c r="CF82" s="383" t="str">
        <f>IF(SUM(AD11)&lt;SUM(D82,D89,D96,D103),"* La suma de Población Hombre 42 a 47 meses según resultado de Evaluación no puede ser mayor que la Población Hombres bajo control de la sección A. ","")</f>
        <v/>
      </c>
      <c r="CG82" s="383" t="str">
        <f>IF(SUM(AE11)&lt;SUM(E82,E89,E96,E103),"* La suma de Población Hombre 42 a 47 meses según resultado de Evaluación no puede ser mayor que la Población Hombres bajo control de la sección A. ","")</f>
        <v/>
      </c>
      <c r="CH82" s="383" t="str">
        <f t="shared" si="116"/>
        <v/>
      </c>
      <c r="CI82" s="383" t="str">
        <f t="shared" si="117"/>
        <v/>
      </c>
      <c r="CJ82" s="383"/>
      <c r="CK82" s="383"/>
      <c r="CL82" s="355"/>
      <c r="CM82" s="355"/>
      <c r="CN82" s="355"/>
      <c r="CO82" s="355"/>
      <c r="CP82" s="355"/>
      <c r="CQ82" s="355"/>
      <c r="CR82" s="355"/>
      <c r="CS82" s="355"/>
      <c r="CT82" s="355"/>
      <c r="CU82" s="355"/>
      <c r="CV82" s="355"/>
      <c r="CW82" s="355"/>
      <c r="CX82" s="355"/>
      <c r="CY82" s="355"/>
      <c r="CZ82" s="355"/>
      <c r="DA82" s="355"/>
      <c r="DB82" s="290"/>
      <c r="DC82" s="290"/>
      <c r="DD82" s="385">
        <f>IF(AD$11&lt;SUM(D82,D89,D96,D103),1,0)</f>
        <v>0</v>
      </c>
      <c r="DE82" s="385">
        <f>IF(AE$11&lt;SUM(E82,E89,E96,E103),1,0)</f>
        <v>0</v>
      </c>
      <c r="DF82" s="385">
        <f t="shared" si="118"/>
        <v>0</v>
      </c>
      <c r="DG82" s="385">
        <f t="shared" si="118"/>
        <v>0</v>
      </c>
      <c r="DH82" s="385">
        <f t="shared" si="119"/>
        <v>0</v>
      </c>
      <c r="DI82" s="385">
        <f t="shared" si="119"/>
        <v>0</v>
      </c>
      <c r="DJ82" s="142"/>
      <c r="DK82" s="142"/>
      <c r="DL82" s="142"/>
      <c r="DM82" s="142"/>
      <c r="DN82" s="142"/>
      <c r="DO82" s="142"/>
      <c r="DP82" s="142"/>
      <c r="DQ82" s="142"/>
      <c r="DR82" s="142"/>
      <c r="DS82" s="142"/>
      <c r="DT82" s="142"/>
      <c r="DU82" s="142"/>
      <c r="DV82" s="142"/>
    </row>
    <row r="83" spans="1:126" ht="15.75" customHeight="1">
      <c r="A83" s="1740"/>
      <c r="B83" s="532" t="s">
        <v>177</v>
      </c>
      <c r="C83" s="78">
        <f t="shared" si="114"/>
        <v>0</v>
      </c>
      <c r="D83" s="81"/>
      <c r="E83" s="533"/>
      <c r="F83" s="79"/>
      <c r="G83" s="84"/>
      <c r="H83" s="527" t="str">
        <f t="shared" si="115"/>
        <v/>
      </c>
      <c r="J83" s="529"/>
      <c r="K83" s="529"/>
      <c r="L83" s="529"/>
      <c r="M83" s="529"/>
      <c r="N83" s="529"/>
      <c r="AV83" s="346"/>
      <c r="BQ83" s="5"/>
      <c r="BR83" s="6"/>
      <c r="BS83" s="6"/>
      <c r="BT83" s="6"/>
      <c r="CA83" s="290"/>
      <c r="CB83" s="290"/>
      <c r="CC83" s="290"/>
      <c r="CD83" s="290"/>
      <c r="CE83" s="290"/>
      <c r="CF83" s="383" t="str">
        <f>IF(SUM(AF11)&lt;SUM(D83,D90,D97,D104),"* La suma de Población Hombre 48 a 59 meses según resultado de Evaluación no puede ser mayor que la Población Hombres bajo control de la sección A. ","")</f>
        <v/>
      </c>
      <c r="CG83" s="383" t="str">
        <f>IF(SUM(AG11)&lt;SUM(E83,E90,E97,E104),"* La suma de Población Mujeres 48 a 59 meses según resultado de Evaluación no puede ser mayor que la Población Hombres bajo control de la sección A. ","")</f>
        <v/>
      </c>
      <c r="CH83" s="383" t="str">
        <f t="shared" si="116"/>
        <v/>
      </c>
      <c r="CI83" s="383" t="str">
        <f t="shared" si="117"/>
        <v/>
      </c>
      <c r="CJ83" s="383"/>
      <c r="CK83" s="383"/>
      <c r="CL83" s="355"/>
      <c r="CM83" s="355"/>
      <c r="CN83" s="355"/>
      <c r="CO83" s="355"/>
      <c r="CP83" s="355"/>
      <c r="CQ83" s="355"/>
      <c r="CR83" s="355"/>
      <c r="CS83" s="355"/>
      <c r="CT83" s="355"/>
      <c r="CU83" s="355"/>
      <c r="CV83" s="355"/>
      <c r="CW83" s="355"/>
      <c r="CX83" s="355"/>
      <c r="CY83" s="355"/>
      <c r="CZ83" s="355"/>
      <c r="DA83" s="355"/>
      <c r="DB83" s="290"/>
      <c r="DC83" s="290"/>
      <c r="DD83" s="385">
        <f>IF(AF$11&lt;SUM(D83,D90,D97,D104),1,0)</f>
        <v>0</v>
      </c>
      <c r="DE83" s="385">
        <f>IF(AG$11&lt;SUM(E83,E90,E97,E104),1,0)</f>
        <v>0</v>
      </c>
      <c r="DF83" s="385">
        <f t="shared" si="118"/>
        <v>0</v>
      </c>
      <c r="DG83" s="385">
        <f t="shared" si="118"/>
        <v>0</v>
      </c>
      <c r="DH83" s="385">
        <f t="shared" si="119"/>
        <v>0</v>
      </c>
      <c r="DI83" s="385">
        <f t="shared" si="119"/>
        <v>0</v>
      </c>
      <c r="DJ83" s="142"/>
      <c r="DK83" s="142"/>
      <c r="DL83" s="142"/>
      <c r="DM83" s="142"/>
      <c r="DN83" s="142"/>
      <c r="DO83" s="142"/>
      <c r="DP83" s="142"/>
      <c r="DQ83" s="142"/>
      <c r="DR83" s="142"/>
      <c r="DS83" s="142"/>
      <c r="DT83" s="142"/>
      <c r="DU83" s="142"/>
      <c r="DV83" s="142"/>
    </row>
    <row r="84" spans="1:126" ht="15.75" customHeight="1">
      <c r="A84" s="1739" t="s">
        <v>220</v>
      </c>
      <c r="B84" s="525" t="s">
        <v>219</v>
      </c>
      <c r="C84" s="22">
        <f>SUM(D84:E84)</f>
        <v>0</v>
      </c>
      <c r="D84" s="50"/>
      <c r="E84" s="534"/>
      <c r="F84" s="46"/>
      <c r="G84" s="53"/>
      <c r="H84" s="527" t="str">
        <f t="shared" si="115"/>
        <v/>
      </c>
      <c r="J84" s="535"/>
      <c r="K84" s="535"/>
      <c r="L84" s="535"/>
      <c r="M84" s="535"/>
      <c r="N84" s="535"/>
      <c r="AV84" s="346"/>
      <c r="BQ84" s="5"/>
      <c r="BR84" s="6"/>
      <c r="BS84" s="6"/>
      <c r="BT84" s="6"/>
      <c r="CA84" s="290"/>
      <c r="CB84" s="290"/>
      <c r="CC84" s="290"/>
      <c r="CD84" s="290"/>
      <c r="CE84" s="290"/>
      <c r="CF84" s="290"/>
      <c r="CG84" s="290"/>
      <c r="CH84" s="383" t="str">
        <f t="shared" si="116"/>
        <v/>
      </c>
      <c r="CI84" s="383" t="str">
        <f t="shared" si="117"/>
        <v/>
      </c>
      <c r="CJ84" s="383"/>
      <c r="CK84" s="383"/>
      <c r="CL84" s="355"/>
      <c r="CM84" s="355"/>
      <c r="CN84" s="355"/>
      <c r="CO84" s="355"/>
      <c r="CP84" s="355"/>
      <c r="CQ84" s="355"/>
      <c r="CR84" s="355"/>
      <c r="CS84" s="355"/>
      <c r="CT84" s="355"/>
      <c r="CU84" s="355"/>
      <c r="CV84" s="355"/>
      <c r="CW84" s="355"/>
      <c r="CX84" s="355"/>
      <c r="CY84" s="355"/>
      <c r="CZ84" s="355"/>
      <c r="DA84" s="355"/>
      <c r="DB84" s="290"/>
      <c r="DC84" s="290"/>
      <c r="DD84" s="142"/>
      <c r="DE84" s="142"/>
      <c r="DF84" s="385">
        <f t="shared" si="118"/>
        <v>0</v>
      </c>
      <c r="DG84" s="385">
        <f t="shared" si="118"/>
        <v>0</v>
      </c>
      <c r="DH84" s="385">
        <f t="shared" si="119"/>
        <v>0</v>
      </c>
      <c r="DI84" s="385">
        <f t="shared" si="119"/>
        <v>0</v>
      </c>
      <c r="DJ84" s="142"/>
      <c r="DK84" s="142"/>
      <c r="DL84" s="142"/>
      <c r="DM84" s="142"/>
      <c r="DN84" s="142"/>
      <c r="DO84" s="142"/>
      <c r="DP84" s="142"/>
      <c r="DQ84" s="142"/>
      <c r="DR84" s="142"/>
      <c r="DS84" s="142"/>
      <c r="DT84" s="142"/>
      <c r="DU84" s="142"/>
      <c r="DV84" s="142"/>
    </row>
    <row r="85" spans="1:126" ht="15.75" customHeight="1">
      <c r="A85" s="1864"/>
      <c r="B85" s="528" t="s">
        <v>172</v>
      </c>
      <c r="C85" s="69">
        <f t="shared" si="114"/>
        <v>0</v>
      </c>
      <c r="D85" s="57"/>
      <c r="E85" s="526"/>
      <c r="F85" s="54"/>
      <c r="G85" s="60"/>
      <c r="H85" s="527" t="str">
        <f t="shared" si="115"/>
        <v/>
      </c>
      <c r="J85" s="529"/>
      <c r="K85" s="529"/>
      <c r="L85" s="529"/>
      <c r="M85" s="529"/>
      <c r="N85" s="529"/>
      <c r="AV85" s="346"/>
      <c r="BQ85" s="5"/>
      <c r="BR85" s="6"/>
      <c r="BS85" s="6"/>
      <c r="BT85" s="6"/>
      <c r="CA85" s="290"/>
      <c r="CB85" s="290"/>
      <c r="CC85" s="290"/>
      <c r="CD85" s="290"/>
      <c r="CE85" s="290"/>
      <c r="CF85" s="290"/>
      <c r="CG85" s="290"/>
      <c r="CH85" s="383" t="str">
        <f t="shared" si="116"/>
        <v/>
      </c>
      <c r="CI85" s="383" t="str">
        <f t="shared" si="117"/>
        <v/>
      </c>
      <c r="CJ85" s="383"/>
      <c r="CK85" s="383"/>
      <c r="CL85" s="355"/>
      <c r="CM85" s="355"/>
      <c r="CN85" s="355"/>
      <c r="CO85" s="355"/>
      <c r="CP85" s="355"/>
      <c r="CQ85" s="355"/>
      <c r="CR85" s="355"/>
      <c r="CS85" s="355"/>
      <c r="CT85" s="355"/>
      <c r="CU85" s="355"/>
      <c r="CV85" s="355"/>
      <c r="CW85" s="355"/>
      <c r="CX85" s="355"/>
      <c r="CY85" s="355"/>
      <c r="CZ85" s="355"/>
      <c r="DA85" s="355"/>
      <c r="DB85" s="290"/>
      <c r="DC85" s="290"/>
      <c r="DD85" s="142"/>
      <c r="DE85" s="142"/>
      <c r="DF85" s="385">
        <f t="shared" si="118"/>
        <v>0</v>
      </c>
      <c r="DG85" s="385">
        <f t="shared" si="118"/>
        <v>0</v>
      </c>
      <c r="DH85" s="385">
        <f t="shared" si="119"/>
        <v>0</v>
      </c>
      <c r="DI85" s="385">
        <f t="shared" si="119"/>
        <v>0</v>
      </c>
      <c r="DJ85" s="142"/>
      <c r="DK85" s="142"/>
      <c r="DL85" s="142"/>
      <c r="DM85" s="142"/>
      <c r="DN85" s="142"/>
      <c r="DO85" s="142"/>
      <c r="DP85" s="142"/>
      <c r="DQ85" s="142"/>
      <c r="DR85" s="142"/>
      <c r="DS85" s="142"/>
      <c r="DT85" s="142"/>
      <c r="DU85" s="142"/>
      <c r="DV85" s="142"/>
    </row>
    <row r="86" spans="1:126" ht="15.75" customHeight="1">
      <c r="A86" s="1865"/>
      <c r="B86" s="528" t="s">
        <v>173</v>
      </c>
      <c r="C86" s="69">
        <f t="shared" si="114"/>
        <v>0</v>
      </c>
      <c r="D86" s="57"/>
      <c r="E86" s="526"/>
      <c r="F86" s="54"/>
      <c r="G86" s="60"/>
      <c r="H86" s="527" t="str">
        <f t="shared" si="115"/>
        <v/>
      </c>
      <c r="J86" s="529"/>
      <c r="K86" s="529"/>
      <c r="L86" s="529"/>
      <c r="M86" s="529"/>
      <c r="N86" s="529"/>
      <c r="AV86" s="346"/>
      <c r="BQ86" s="5"/>
      <c r="BR86" s="6"/>
      <c r="BS86" s="6"/>
      <c r="BT86" s="6"/>
      <c r="CA86" s="290"/>
      <c r="CB86" s="290"/>
      <c r="CC86" s="290"/>
      <c r="CD86" s="290"/>
      <c r="CE86" s="290"/>
      <c r="CF86" s="290"/>
      <c r="CG86" s="290"/>
      <c r="CH86" s="383" t="str">
        <f t="shared" si="116"/>
        <v/>
      </c>
      <c r="CI86" s="383" t="str">
        <f t="shared" si="117"/>
        <v/>
      </c>
      <c r="CJ86" s="383"/>
      <c r="CK86" s="383"/>
      <c r="CL86" s="355"/>
      <c r="CM86" s="355"/>
      <c r="CN86" s="355"/>
      <c r="CO86" s="355"/>
      <c r="CP86" s="355"/>
      <c r="CQ86" s="355"/>
      <c r="CR86" s="355"/>
      <c r="CS86" s="355"/>
      <c r="CT86" s="355"/>
      <c r="CU86" s="355"/>
      <c r="CV86" s="355"/>
      <c r="CW86" s="355"/>
      <c r="CX86" s="355"/>
      <c r="CY86" s="355"/>
      <c r="CZ86" s="355"/>
      <c r="DA86" s="355"/>
      <c r="DB86" s="290"/>
      <c r="DC86" s="290"/>
      <c r="DD86" s="142"/>
      <c r="DE86" s="142"/>
      <c r="DF86" s="385">
        <f t="shared" si="118"/>
        <v>0</v>
      </c>
      <c r="DG86" s="385">
        <f t="shared" si="118"/>
        <v>0</v>
      </c>
      <c r="DH86" s="385">
        <f t="shared" si="119"/>
        <v>0</v>
      </c>
      <c r="DI86" s="385">
        <f t="shared" si="119"/>
        <v>0</v>
      </c>
      <c r="DJ86" s="142"/>
      <c r="DK86" s="142"/>
      <c r="DL86" s="142"/>
      <c r="DM86" s="142"/>
      <c r="DN86" s="142"/>
      <c r="DO86" s="142"/>
      <c r="DP86" s="142"/>
      <c r="DQ86" s="142"/>
      <c r="DR86" s="142"/>
      <c r="DS86" s="142"/>
      <c r="DT86" s="142"/>
      <c r="DU86" s="142"/>
      <c r="DV86" s="142"/>
    </row>
    <row r="87" spans="1:126" ht="15.75" customHeight="1">
      <c r="A87" s="1865"/>
      <c r="B87" s="528" t="s">
        <v>174</v>
      </c>
      <c r="C87" s="69">
        <f t="shared" si="114"/>
        <v>0</v>
      </c>
      <c r="D87" s="57"/>
      <c r="E87" s="526"/>
      <c r="F87" s="54"/>
      <c r="G87" s="60"/>
      <c r="H87" s="527" t="str">
        <f t="shared" si="115"/>
        <v/>
      </c>
      <c r="J87" s="529"/>
      <c r="K87" s="529"/>
      <c r="L87" s="529"/>
      <c r="M87" s="529"/>
      <c r="N87" s="529"/>
      <c r="AV87" s="346"/>
      <c r="BQ87" s="5"/>
      <c r="BR87" s="6"/>
      <c r="BS87" s="6"/>
      <c r="BT87" s="6"/>
      <c r="CA87" s="290"/>
      <c r="CB87" s="290"/>
      <c r="CC87" s="290"/>
      <c r="CD87" s="290"/>
      <c r="CE87" s="290"/>
      <c r="CF87" s="290"/>
      <c r="CG87" s="290"/>
      <c r="CH87" s="383" t="str">
        <f t="shared" si="116"/>
        <v/>
      </c>
      <c r="CI87" s="383" t="str">
        <f t="shared" si="117"/>
        <v/>
      </c>
      <c r="CJ87" s="383"/>
      <c r="CK87" s="383"/>
      <c r="CL87" s="355"/>
      <c r="CM87" s="355"/>
      <c r="CN87" s="355"/>
      <c r="CO87" s="355"/>
      <c r="CP87" s="355"/>
      <c r="CQ87" s="355"/>
      <c r="CR87" s="355"/>
      <c r="CS87" s="355"/>
      <c r="CT87" s="355"/>
      <c r="CU87" s="355"/>
      <c r="CV87" s="355"/>
      <c r="CW87" s="355"/>
      <c r="CX87" s="355"/>
      <c r="CY87" s="355"/>
      <c r="CZ87" s="355"/>
      <c r="DA87" s="355"/>
      <c r="DB87" s="290"/>
      <c r="DC87" s="290"/>
      <c r="DD87" s="142"/>
      <c r="DE87" s="142"/>
      <c r="DF87" s="385">
        <f t="shared" si="118"/>
        <v>0</v>
      </c>
      <c r="DG87" s="385">
        <f t="shared" si="118"/>
        <v>0</v>
      </c>
      <c r="DH87" s="385">
        <f t="shared" si="119"/>
        <v>0</v>
      </c>
      <c r="DI87" s="385">
        <f t="shared" si="119"/>
        <v>0</v>
      </c>
      <c r="DJ87" s="142"/>
      <c r="DK87" s="142"/>
      <c r="DL87" s="142"/>
      <c r="DM87" s="142"/>
      <c r="DN87" s="142"/>
      <c r="DO87" s="142"/>
      <c r="DP87" s="142"/>
      <c r="DQ87" s="142"/>
      <c r="DR87" s="142"/>
      <c r="DS87" s="142"/>
      <c r="DT87" s="142"/>
      <c r="DU87" s="142"/>
      <c r="DV87" s="142"/>
    </row>
    <row r="88" spans="1:126" ht="15.75" customHeight="1">
      <c r="A88" s="1865"/>
      <c r="B88" s="530" t="s">
        <v>175</v>
      </c>
      <c r="C88" s="176">
        <f t="shared" si="114"/>
        <v>0</v>
      </c>
      <c r="D88" s="64"/>
      <c r="E88" s="531"/>
      <c r="F88" s="61"/>
      <c r="G88" s="67"/>
      <c r="H88" s="527" t="str">
        <f t="shared" si="115"/>
        <v/>
      </c>
      <c r="J88" s="529"/>
      <c r="K88" s="529"/>
      <c r="L88" s="529"/>
      <c r="M88" s="529"/>
      <c r="N88" s="529"/>
      <c r="AV88" s="346"/>
      <c r="BQ88" s="5"/>
      <c r="BR88" s="6"/>
      <c r="BS88" s="6"/>
      <c r="BT88" s="6"/>
      <c r="CA88" s="290"/>
      <c r="CB88" s="290"/>
      <c r="CC88" s="290"/>
      <c r="CD88" s="290"/>
      <c r="CE88" s="290"/>
      <c r="CF88" s="290"/>
      <c r="CG88" s="290"/>
      <c r="CH88" s="383" t="str">
        <f t="shared" si="116"/>
        <v/>
      </c>
      <c r="CI88" s="383" t="str">
        <f t="shared" si="117"/>
        <v/>
      </c>
      <c r="CJ88" s="383"/>
      <c r="CK88" s="383"/>
      <c r="CL88" s="355"/>
      <c r="CM88" s="355"/>
      <c r="CN88" s="355"/>
      <c r="CO88" s="355"/>
      <c r="CP88" s="355"/>
      <c r="CQ88" s="355"/>
      <c r="CR88" s="355"/>
      <c r="CS88" s="355"/>
      <c r="CT88" s="355"/>
      <c r="CU88" s="355"/>
      <c r="CV88" s="355"/>
      <c r="CW88" s="355"/>
      <c r="CX88" s="355"/>
      <c r="CY88" s="355"/>
      <c r="CZ88" s="355"/>
      <c r="DA88" s="355"/>
      <c r="DB88" s="290"/>
      <c r="DC88" s="290"/>
      <c r="DD88" s="142"/>
      <c r="DE88" s="142"/>
      <c r="DF88" s="385">
        <f t="shared" si="118"/>
        <v>0</v>
      </c>
      <c r="DG88" s="385">
        <f t="shared" si="118"/>
        <v>0</v>
      </c>
      <c r="DH88" s="385">
        <f t="shared" si="119"/>
        <v>0</v>
      </c>
      <c r="DI88" s="385">
        <f t="shared" si="119"/>
        <v>0</v>
      </c>
      <c r="DJ88" s="142"/>
      <c r="DK88" s="142"/>
      <c r="DL88" s="142"/>
      <c r="DM88" s="142"/>
      <c r="DN88" s="142"/>
      <c r="DO88" s="142"/>
      <c r="DP88" s="142"/>
      <c r="DQ88" s="142"/>
      <c r="DR88" s="142"/>
      <c r="DS88" s="142"/>
      <c r="DT88" s="142"/>
      <c r="DU88" s="142"/>
      <c r="DV88" s="142"/>
    </row>
    <row r="89" spans="1:126" ht="15.75" customHeight="1">
      <c r="A89" s="1865"/>
      <c r="B89" s="530" t="s">
        <v>176</v>
      </c>
      <c r="C89" s="176">
        <f>SUM(D89:E89)</f>
        <v>0</v>
      </c>
      <c r="D89" s="64"/>
      <c r="E89" s="531"/>
      <c r="F89" s="61"/>
      <c r="G89" s="67"/>
      <c r="H89" s="527" t="str">
        <f t="shared" si="115"/>
        <v/>
      </c>
      <c r="J89" s="529"/>
      <c r="K89" s="529"/>
      <c r="L89" s="529"/>
      <c r="M89" s="529"/>
      <c r="N89" s="529"/>
      <c r="AV89" s="346"/>
      <c r="BQ89" s="5"/>
      <c r="BR89" s="6"/>
      <c r="BS89" s="6"/>
      <c r="BT89" s="6"/>
      <c r="CA89" s="290"/>
      <c r="CB89" s="290"/>
      <c r="CC89" s="290"/>
      <c r="CD89" s="290"/>
      <c r="CE89" s="290"/>
      <c r="CF89" s="290"/>
      <c r="CG89" s="290"/>
      <c r="CH89" s="383" t="str">
        <f t="shared" si="116"/>
        <v/>
      </c>
      <c r="CI89" s="383" t="str">
        <f t="shared" si="117"/>
        <v/>
      </c>
      <c r="CJ89" s="383"/>
      <c r="CK89" s="383"/>
      <c r="CL89" s="355"/>
      <c r="CM89" s="355"/>
      <c r="CN89" s="355"/>
      <c r="CO89" s="355"/>
      <c r="CP89" s="355"/>
      <c r="CQ89" s="355"/>
      <c r="CR89" s="355"/>
      <c r="CS89" s="355"/>
      <c r="CT89" s="355"/>
      <c r="CU89" s="355"/>
      <c r="CV89" s="355"/>
      <c r="CW89" s="355"/>
      <c r="CX89" s="355"/>
      <c r="CY89" s="355"/>
      <c r="CZ89" s="355"/>
      <c r="DA89" s="355"/>
      <c r="DB89" s="290"/>
      <c r="DC89" s="290"/>
      <c r="DD89" s="142"/>
      <c r="DE89" s="142"/>
      <c r="DF89" s="385">
        <f>IF(F89&gt;$C89,1,0)</f>
        <v>0</v>
      </c>
      <c r="DG89" s="385">
        <f t="shared" si="118"/>
        <v>0</v>
      </c>
      <c r="DH89" s="385">
        <f t="shared" si="119"/>
        <v>0</v>
      </c>
      <c r="DI89" s="385">
        <f t="shared" si="119"/>
        <v>0</v>
      </c>
      <c r="DJ89" s="142"/>
      <c r="DK89" s="142"/>
      <c r="DL89" s="142"/>
      <c r="DM89" s="142"/>
      <c r="DN89" s="142"/>
      <c r="DO89" s="142"/>
      <c r="DP89" s="142"/>
      <c r="DQ89" s="142"/>
      <c r="DR89" s="142"/>
      <c r="DS89" s="142"/>
      <c r="DT89" s="142"/>
      <c r="DU89" s="142"/>
      <c r="DV89" s="142"/>
    </row>
    <row r="90" spans="1:126" ht="15.75" customHeight="1">
      <c r="A90" s="1740"/>
      <c r="B90" s="532" t="s">
        <v>177</v>
      </c>
      <c r="C90" s="78">
        <f t="shared" si="114"/>
        <v>0</v>
      </c>
      <c r="D90" s="81"/>
      <c r="E90" s="533"/>
      <c r="F90" s="79"/>
      <c r="G90" s="84"/>
      <c r="H90" s="527" t="str">
        <f t="shared" si="115"/>
        <v/>
      </c>
      <c r="J90" s="529"/>
      <c r="K90" s="529"/>
      <c r="L90" s="529"/>
      <c r="M90" s="529"/>
      <c r="N90" s="529"/>
      <c r="AV90" s="346"/>
      <c r="BQ90" s="5"/>
      <c r="BR90" s="6"/>
      <c r="BS90" s="6"/>
      <c r="BT90" s="6"/>
      <c r="CA90" s="290"/>
      <c r="CB90" s="290"/>
      <c r="CC90" s="290"/>
      <c r="CD90" s="290"/>
      <c r="CE90" s="290"/>
      <c r="CF90" s="290"/>
      <c r="CG90" s="290"/>
      <c r="CH90" s="383" t="str">
        <f t="shared" si="116"/>
        <v/>
      </c>
      <c r="CI90" s="383" t="str">
        <f t="shared" si="117"/>
        <v/>
      </c>
      <c r="CJ90" s="383"/>
      <c r="CK90" s="383"/>
      <c r="CL90" s="355"/>
      <c r="CM90" s="355"/>
      <c r="CN90" s="355"/>
      <c r="CO90" s="355"/>
      <c r="CP90" s="355"/>
      <c r="CQ90" s="355"/>
      <c r="CR90" s="355"/>
      <c r="CS90" s="355"/>
      <c r="CT90" s="355"/>
      <c r="CU90" s="355"/>
      <c r="CV90" s="355"/>
      <c r="CW90" s="355"/>
      <c r="CX90" s="355"/>
      <c r="CY90" s="355"/>
      <c r="CZ90" s="355"/>
      <c r="DA90" s="355"/>
      <c r="DB90" s="290"/>
      <c r="DC90" s="290"/>
      <c r="DD90" s="142"/>
      <c r="DE90" s="142"/>
      <c r="DF90" s="385">
        <f t="shared" si="118"/>
        <v>0</v>
      </c>
      <c r="DG90" s="385">
        <f t="shared" si="118"/>
        <v>0</v>
      </c>
      <c r="DH90" s="385">
        <f t="shared" si="119"/>
        <v>0</v>
      </c>
      <c r="DI90" s="385">
        <f t="shared" si="119"/>
        <v>0</v>
      </c>
      <c r="DJ90" s="142"/>
      <c r="DK90" s="142"/>
      <c r="DL90" s="142"/>
      <c r="DM90" s="142"/>
      <c r="DN90" s="142"/>
      <c r="DO90" s="142"/>
      <c r="DP90" s="142"/>
      <c r="DQ90" s="142"/>
      <c r="DR90" s="142"/>
      <c r="DS90" s="142"/>
      <c r="DT90" s="142"/>
      <c r="DU90" s="142"/>
      <c r="DV90" s="142"/>
    </row>
    <row r="91" spans="1:126" ht="15.75" customHeight="1">
      <c r="A91" s="1739" t="s">
        <v>221</v>
      </c>
      <c r="B91" s="525" t="s">
        <v>219</v>
      </c>
      <c r="C91" s="22">
        <f t="shared" si="114"/>
        <v>0</v>
      </c>
      <c r="D91" s="50"/>
      <c r="E91" s="534"/>
      <c r="F91" s="46"/>
      <c r="G91" s="53"/>
      <c r="H91" s="527" t="str">
        <f t="shared" si="115"/>
        <v/>
      </c>
      <c r="J91" s="535"/>
      <c r="K91" s="535"/>
      <c r="L91" s="535"/>
      <c r="M91" s="535"/>
      <c r="N91" s="535"/>
      <c r="AV91" s="346"/>
      <c r="BQ91" s="5"/>
      <c r="BR91" s="6"/>
      <c r="BS91" s="6"/>
      <c r="BT91" s="6"/>
      <c r="CA91" s="290"/>
      <c r="CB91" s="290"/>
      <c r="CC91" s="290"/>
      <c r="CD91" s="290"/>
      <c r="CE91" s="290"/>
      <c r="CF91" s="290"/>
      <c r="CG91" s="290"/>
      <c r="CH91" s="383" t="str">
        <f t="shared" si="116"/>
        <v/>
      </c>
      <c r="CI91" s="383" t="str">
        <f t="shared" si="117"/>
        <v/>
      </c>
      <c r="CJ91" s="383"/>
      <c r="CK91" s="383"/>
      <c r="CL91" s="355"/>
      <c r="CM91" s="355"/>
      <c r="CN91" s="355"/>
      <c r="CO91" s="355"/>
      <c r="CP91" s="355"/>
      <c r="CQ91" s="355"/>
      <c r="CR91" s="355"/>
      <c r="CS91" s="355"/>
      <c r="CT91" s="355"/>
      <c r="CU91" s="355"/>
      <c r="CV91" s="355"/>
      <c r="CW91" s="355"/>
      <c r="CX91" s="355"/>
      <c r="CY91" s="355"/>
      <c r="CZ91" s="355"/>
      <c r="DA91" s="355"/>
      <c r="DB91" s="290"/>
      <c r="DC91" s="290"/>
      <c r="DD91" s="142"/>
      <c r="DE91" s="142"/>
      <c r="DF91" s="385">
        <f t="shared" si="118"/>
        <v>0</v>
      </c>
      <c r="DG91" s="385">
        <f t="shared" si="118"/>
        <v>0</v>
      </c>
      <c r="DH91" s="385">
        <f t="shared" si="119"/>
        <v>0</v>
      </c>
      <c r="DI91" s="385">
        <f t="shared" si="119"/>
        <v>0</v>
      </c>
      <c r="DJ91" s="142"/>
      <c r="DK91" s="142"/>
      <c r="DL91" s="142"/>
      <c r="DM91" s="142"/>
      <c r="DN91" s="142"/>
      <c r="DO91" s="142"/>
      <c r="DP91" s="142"/>
      <c r="DQ91" s="142"/>
      <c r="DR91" s="142"/>
      <c r="DS91" s="142"/>
      <c r="DT91" s="142"/>
      <c r="DU91" s="142"/>
      <c r="DV91" s="142"/>
    </row>
    <row r="92" spans="1:126" ht="15.75" customHeight="1">
      <c r="A92" s="1864"/>
      <c r="B92" s="528" t="s">
        <v>172</v>
      </c>
      <c r="C92" s="69">
        <f t="shared" si="114"/>
        <v>0</v>
      </c>
      <c r="D92" s="57"/>
      <c r="E92" s="526"/>
      <c r="F92" s="54"/>
      <c r="G92" s="60"/>
      <c r="H92" s="527" t="str">
        <f t="shared" si="115"/>
        <v/>
      </c>
      <c r="J92" s="529"/>
      <c r="K92" s="529"/>
      <c r="L92" s="529"/>
      <c r="M92" s="529"/>
      <c r="N92" s="529"/>
      <c r="AV92" s="346"/>
      <c r="BQ92" s="5"/>
      <c r="BR92" s="6"/>
      <c r="BS92" s="6"/>
      <c r="BT92" s="6"/>
      <c r="CA92" s="290"/>
      <c r="CB92" s="290"/>
      <c r="CC92" s="290"/>
      <c r="CD92" s="290"/>
      <c r="CE92" s="290"/>
      <c r="CF92" s="290"/>
      <c r="CG92" s="290"/>
      <c r="CH92" s="383" t="str">
        <f t="shared" si="116"/>
        <v/>
      </c>
      <c r="CI92" s="383" t="str">
        <f t="shared" si="117"/>
        <v/>
      </c>
      <c r="CJ92" s="383"/>
      <c r="CK92" s="383"/>
      <c r="CL92" s="355"/>
      <c r="CM92" s="355"/>
      <c r="CN92" s="355"/>
      <c r="CO92" s="355"/>
      <c r="CP92" s="355"/>
      <c r="CQ92" s="355"/>
      <c r="CR92" s="355"/>
      <c r="CS92" s="355"/>
      <c r="CT92" s="355"/>
      <c r="CU92" s="355"/>
      <c r="CV92" s="355"/>
      <c r="CW92" s="355"/>
      <c r="CX92" s="355"/>
      <c r="CY92" s="355"/>
      <c r="CZ92" s="355"/>
      <c r="DA92" s="355"/>
      <c r="DB92" s="290"/>
      <c r="DC92" s="290"/>
      <c r="DD92" s="142"/>
      <c r="DE92" s="142"/>
      <c r="DF92" s="385">
        <f t="shared" si="118"/>
        <v>0</v>
      </c>
      <c r="DG92" s="385">
        <f t="shared" si="118"/>
        <v>0</v>
      </c>
      <c r="DH92" s="385">
        <f t="shared" si="119"/>
        <v>0</v>
      </c>
      <c r="DI92" s="385">
        <f t="shared" si="119"/>
        <v>0</v>
      </c>
      <c r="DJ92" s="142"/>
      <c r="DK92" s="142"/>
      <c r="DL92" s="142"/>
      <c r="DM92" s="142"/>
      <c r="DN92" s="142"/>
      <c r="DO92" s="142"/>
      <c r="DP92" s="142"/>
      <c r="DQ92" s="142"/>
      <c r="DR92" s="142"/>
      <c r="DS92" s="142"/>
      <c r="DT92" s="142"/>
      <c r="DU92" s="142"/>
      <c r="DV92" s="142"/>
    </row>
    <row r="93" spans="1:126" ht="15.75" customHeight="1">
      <c r="A93" s="1865"/>
      <c r="B93" s="528" t="s">
        <v>173</v>
      </c>
      <c r="C93" s="69">
        <f t="shared" si="114"/>
        <v>0</v>
      </c>
      <c r="D93" s="57"/>
      <c r="E93" s="526"/>
      <c r="F93" s="54"/>
      <c r="G93" s="60"/>
      <c r="H93" s="527" t="str">
        <f t="shared" si="115"/>
        <v/>
      </c>
      <c r="J93" s="529"/>
      <c r="K93" s="529"/>
      <c r="L93" s="529"/>
      <c r="M93" s="529"/>
      <c r="N93" s="529"/>
      <c r="AV93" s="346"/>
      <c r="BQ93" s="5"/>
      <c r="BR93" s="6"/>
      <c r="BS93" s="6"/>
      <c r="BT93" s="6"/>
      <c r="CA93" s="290"/>
      <c r="CB93" s="290"/>
      <c r="CC93" s="290"/>
      <c r="CD93" s="290"/>
      <c r="CE93" s="290"/>
      <c r="CF93" s="290"/>
      <c r="CG93" s="290"/>
      <c r="CH93" s="383" t="str">
        <f t="shared" si="116"/>
        <v/>
      </c>
      <c r="CI93" s="383" t="str">
        <f t="shared" si="117"/>
        <v/>
      </c>
      <c r="CJ93" s="383"/>
      <c r="CK93" s="383"/>
      <c r="CL93" s="355"/>
      <c r="CM93" s="355"/>
      <c r="CN93" s="355"/>
      <c r="CO93" s="355"/>
      <c r="CP93" s="355"/>
      <c r="CQ93" s="355"/>
      <c r="CR93" s="355"/>
      <c r="CS93" s="355"/>
      <c r="CT93" s="355"/>
      <c r="CU93" s="355"/>
      <c r="CV93" s="355"/>
      <c r="CW93" s="355"/>
      <c r="CX93" s="355"/>
      <c r="CY93" s="355"/>
      <c r="CZ93" s="355"/>
      <c r="DA93" s="355"/>
      <c r="DB93" s="290"/>
      <c r="DC93" s="290"/>
      <c r="DD93" s="142"/>
      <c r="DE93" s="142"/>
      <c r="DF93" s="385">
        <f t="shared" si="118"/>
        <v>0</v>
      </c>
      <c r="DG93" s="385">
        <f t="shared" si="118"/>
        <v>0</v>
      </c>
      <c r="DH93" s="385">
        <f t="shared" si="119"/>
        <v>0</v>
      </c>
      <c r="DI93" s="385">
        <f t="shared" si="119"/>
        <v>0</v>
      </c>
      <c r="DJ93" s="142"/>
      <c r="DK93" s="142"/>
      <c r="DL93" s="142"/>
      <c r="DM93" s="142"/>
      <c r="DN93" s="142"/>
      <c r="DO93" s="142"/>
      <c r="DP93" s="142"/>
      <c r="DQ93" s="142"/>
      <c r="DR93" s="142"/>
      <c r="DS93" s="142"/>
      <c r="DT93" s="142"/>
      <c r="DU93" s="142"/>
      <c r="DV93" s="142"/>
    </row>
    <row r="94" spans="1:126" ht="15.75" customHeight="1">
      <c r="A94" s="1865"/>
      <c r="B94" s="528" t="s">
        <v>174</v>
      </c>
      <c r="C94" s="69">
        <f t="shared" si="114"/>
        <v>0</v>
      </c>
      <c r="D94" s="57"/>
      <c r="E94" s="526"/>
      <c r="F94" s="54"/>
      <c r="G94" s="60"/>
      <c r="H94" s="527" t="str">
        <f t="shared" si="115"/>
        <v/>
      </c>
      <c r="J94" s="529"/>
      <c r="K94" s="529"/>
      <c r="L94" s="529"/>
      <c r="M94" s="529"/>
      <c r="N94" s="529"/>
      <c r="AV94" s="346"/>
      <c r="BQ94" s="5"/>
      <c r="BR94" s="6"/>
      <c r="BS94" s="6"/>
      <c r="BT94" s="6"/>
      <c r="CA94" s="290"/>
      <c r="CB94" s="290"/>
      <c r="CC94" s="290"/>
      <c r="CD94" s="290"/>
      <c r="CE94" s="290"/>
      <c r="CF94" s="290"/>
      <c r="CG94" s="290"/>
      <c r="CH94" s="383" t="str">
        <f t="shared" si="116"/>
        <v/>
      </c>
      <c r="CI94" s="383" t="str">
        <f t="shared" si="117"/>
        <v/>
      </c>
      <c r="CJ94" s="383"/>
      <c r="CK94" s="383"/>
      <c r="CL94" s="355"/>
      <c r="CM94" s="355"/>
      <c r="CN94" s="355"/>
      <c r="CO94" s="355"/>
      <c r="CP94" s="355"/>
      <c r="CQ94" s="355"/>
      <c r="CR94" s="355"/>
      <c r="CS94" s="355"/>
      <c r="CT94" s="355"/>
      <c r="CU94" s="355"/>
      <c r="CV94" s="355"/>
      <c r="CW94" s="355"/>
      <c r="CX94" s="355"/>
      <c r="CY94" s="355"/>
      <c r="CZ94" s="355"/>
      <c r="DA94" s="355"/>
      <c r="DB94" s="290"/>
      <c r="DC94" s="290"/>
      <c r="DD94" s="142"/>
      <c r="DE94" s="142"/>
      <c r="DF94" s="385">
        <f t="shared" si="118"/>
        <v>0</v>
      </c>
      <c r="DG94" s="385">
        <f t="shared" si="118"/>
        <v>0</v>
      </c>
      <c r="DH94" s="385">
        <f t="shared" si="119"/>
        <v>0</v>
      </c>
      <c r="DI94" s="385">
        <f t="shared" si="119"/>
        <v>0</v>
      </c>
      <c r="DJ94" s="142"/>
      <c r="DK94" s="142"/>
      <c r="DL94" s="142"/>
      <c r="DM94" s="142"/>
      <c r="DN94" s="142"/>
      <c r="DO94" s="142"/>
      <c r="DP94" s="142"/>
      <c r="DQ94" s="142"/>
      <c r="DR94" s="142"/>
      <c r="DS94" s="142"/>
      <c r="DT94" s="142"/>
      <c r="DU94" s="142"/>
      <c r="DV94" s="142"/>
    </row>
    <row r="95" spans="1:126" ht="15.75" customHeight="1">
      <c r="A95" s="1865"/>
      <c r="B95" s="530" t="s">
        <v>175</v>
      </c>
      <c r="C95" s="69">
        <f t="shared" si="114"/>
        <v>0</v>
      </c>
      <c r="D95" s="64"/>
      <c r="E95" s="531"/>
      <c r="F95" s="61"/>
      <c r="G95" s="67"/>
      <c r="H95" s="527" t="str">
        <f t="shared" si="115"/>
        <v/>
      </c>
      <c r="J95" s="529"/>
      <c r="K95" s="529"/>
      <c r="L95" s="529"/>
      <c r="M95" s="529"/>
      <c r="N95" s="529"/>
      <c r="AV95" s="346"/>
      <c r="BQ95" s="5"/>
      <c r="BR95" s="6"/>
      <c r="BS95" s="6"/>
      <c r="BT95" s="6"/>
      <c r="CA95" s="290"/>
      <c r="CB95" s="290"/>
      <c r="CC95" s="290"/>
      <c r="CD95" s="290"/>
      <c r="CE95" s="290"/>
      <c r="CF95" s="290"/>
      <c r="CG95" s="290"/>
      <c r="CH95" s="383" t="str">
        <f t="shared" si="116"/>
        <v/>
      </c>
      <c r="CI95" s="383" t="str">
        <f t="shared" si="117"/>
        <v/>
      </c>
      <c r="CJ95" s="383"/>
      <c r="CK95" s="383"/>
      <c r="CL95" s="355"/>
      <c r="CM95" s="355"/>
      <c r="CN95" s="355"/>
      <c r="CO95" s="355"/>
      <c r="CP95" s="355"/>
      <c r="CQ95" s="355"/>
      <c r="CR95" s="355"/>
      <c r="CS95" s="355"/>
      <c r="CT95" s="355"/>
      <c r="CU95" s="355"/>
      <c r="CV95" s="355"/>
      <c r="CW95" s="355"/>
      <c r="CX95" s="355"/>
      <c r="CY95" s="355"/>
      <c r="CZ95" s="355"/>
      <c r="DA95" s="355"/>
      <c r="DB95" s="290"/>
      <c r="DC95" s="290"/>
      <c r="DD95" s="142"/>
      <c r="DE95" s="142"/>
      <c r="DF95" s="385">
        <f t="shared" si="118"/>
        <v>0</v>
      </c>
      <c r="DG95" s="385">
        <f t="shared" si="118"/>
        <v>0</v>
      </c>
      <c r="DH95" s="385">
        <f t="shared" si="119"/>
        <v>0</v>
      </c>
      <c r="DI95" s="385">
        <f t="shared" si="119"/>
        <v>0</v>
      </c>
      <c r="DJ95" s="142"/>
      <c r="DK95" s="142"/>
      <c r="DL95" s="142"/>
      <c r="DM95" s="142"/>
      <c r="DN95" s="142"/>
      <c r="DO95" s="142"/>
      <c r="DP95" s="142"/>
      <c r="DQ95" s="142"/>
      <c r="DR95" s="142"/>
      <c r="DS95" s="142"/>
      <c r="DT95" s="142"/>
      <c r="DU95" s="142"/>
      <c r="DV95" s="142"/>
    </row>
    <row r="96" spans="1:126" ht="15.75" customHeight="1">
      <c r="A96" s="1865"/>
      <c r="B96" s="530" t="s">
        <v>176</v>
      </c>
      <c r="C96" s="69">
        <f t="shared" si="114"/>
        <v>0</v>
      </c>
      <c r="D96" s="64"/>
      <c r="E96" s="531"/>
      <c r="F96" s="61"/>
      <c r="G96" s="67"/>
      <c r="H96" s="527" t="str">
        <f t="shared" si="115"/>
        <v/>
      </c>
      <c r="J96" s="529"/>
      <c r="K96" s="529"/>
      <c r="L96" s="529"/>
      <c r="M96" s="529"/>
      <c r="N96" s="529"/>
      <c r="AV96" s="346"/>
      <c r="BQ96" s="5"/>
      <c r="BR96" s="6"/>
      <c r="BS96" s="6"/>
      <c r="BT96" s="6"/>
      <c r="CA96" s="290"/>
      <c r="CB96" s="290"/>
      <c r="CC96" s="290"/>
      <c r="CD96" s="290"/>
      <c r="CE96" s="290"/>
      <c r="CF96" s="290"/>
      <c r="CG96" s="290"/>
      <c r="CH96" s="383" t="str">
        <f t="shared" si="116"/>
        <v/>
      </c>
      <c r="CI96" s="383" t="str">
        <f t="shared" si="117"/>
        <v/>
      </c>
      <c r="CJ96" s="383"/>
      <c r="CK96" s="383"/>
      <c r="CL96" s="355"/>
      <c r="CM96" s="355"/>
      <c r="CN96" s="355"/>
      <c r="CO96" s="355"/>
      <c r="CP96" s="355"/>
      <c r="CQ96" s="355"/>
      <c r="CR96" s="355"/>
      <c r="CS96" s="355"/>
      <c r="CT96" s="355"/>
      <c r="CU96" s="355"/>
      <c r="CV96" s="355"/>
      <c r="CW96" s="355"/>
      <c r="CX96" s="355"/>
      <c r="CY96" s="355"/>
      <c r="CZ96" s="355"/>
      <c r="DA96" s="355"/>
      <c r="DB96" s="290"/>
      <c r="DC96" s="290"/>
      <c r="DD96" s="142"/>
      <c r="DE96" s="142"/>
      <c r="DF96" s="385">
        <f t="shared" si="118"/>
        <v>0</v>
      </c>
      <c r="DG96" s="385">
        <f t="shared" si="118"/>
        <v>0</v>
      </c>
      <c r="DH96" s="385">
        <f t="shared" si="119"/>
        <v>0</v>
      </c>
      <c r="DI96" s="385">
        <f t="shared" si="119"/>
        <v>0</v>
      </c>
      <c r="DJ96" s="142"/>
      <c r="DK96" s="142"/>
      <c r="DL96" s="142"/>
      <c r="DM96" s="142"/>
      <c r="DN96" s="142"/>
      <c r="DO96" s="142"/>
      <c r="DP96" s="142"/>
      <c r="DQ96" s="142"/>
      <c r="DR96" s="142"/>
      <c r="DS96" s="142"/>
      <c r="DT96" s="142"/>
      <c r="DU96" s="142"/>
      <c r="DV96" s="142"/>
    </row>
    <row r="97" spans="1:126" ht="15.75" customHeight="1">
      <c r="A97" s="1740"/>
      <c r="B97" s="532" t="s">
        <v>177</v>
      </c>
      <c r="C97" s="78">
        <f t="shared" si="114"/>
        <v>0</v>
      </c>
      <c r="D97" s="64"/>
      <c r="E97" s="531"/>
      <c r="F97" s="61"/>
      <c r="G97" s="67"/>
      <c r="H97" s="527" t="str">
        <f t="shared" si="115"/>
        <v/>
      </c>
      <c r="J97" s="529"/>
      <c r="K97" s="529"/>
      <c r="L97" s="529"/>
      <c r="M97" s="529"/>
      <c r="N97" s="529"/>
      <c r="AV97" s="346"/>
      <c r="BQ97" s="5"/>
      <c r="BR97" s="6"/>
      <c r="BS97" s="6"/>
      <c r="BT97" s="6"/>
      <c r="CA97" s="290"/>
      <c r="CB97" s="290"/>
      <c r="CC97" s="290"/>
      <c r="CD97" s="290"/>
      <c r="CE97" s="290"/>
      <c r="CF97" s="290"/>
      <c r="CG97" s="290"/>
      <c r="CH97" s="383" t="str">
        <f t="shared" si="116"/>
        <v/>
      </c>
      <c r="CI97" s="383" t="str">
        <f t="shared" si="117"/>
        <v/>
      </c>
      <c r="CJ97" s="383"/>
      <c r="CK97" s="383"/>
      <c r="CL97" s="355"/>
      <c r="CM97" s="355"/>
      <c r="CN97" s="355"/>
      <c r="CO97" s="355"/>
      <c r="CP97" s="355"/>
      <c r="CQ97" s="355"/>
      <c r="CR97" s="355"/>
      <c r="CS97" s="355"/>
      <c r="CT97" s="355"/>
      <c r="CU97" s="355"/>
      <c r="CV97" s="355"/>
      <c r="CW97" s="355"/>
      <c r="CX97" s="355"/>
      <c r="CY97" s="355"/>
      <c r="CZ97" s="355"/>
      <c r="DA97" s="355"/>
      <c r="DB97" s="290"/>
      <c r="DC97" s="290"/>
      <c r="DD97" s="142"/>
      <c r="DE97" s="142"/>
      <c r="DF97" s="385">
        <f t="shared" si="118"/>
        <v>0</v>
      </c>
      <c r="DG97" s="385">
        <f t="shared" si="118"/>
        <v>0</v>
      </c>
      <c r="DH97" s="385">
        <f t="shared" si="119"/>
        <v>0</v>
      </c>
      <c r="DI97" s="385">
        <f t="shared" si="119"/>
        <v>0</v>
      </c>
      <c r="DJ97" s="142"/>
      <c r="DK97" s="142"/>
      <c r="DL97" s="142"/>
      <c r="DM97" s="142"/>
      <c r="DN97" s="142"/>
      <c r="DO97" s="142"/>
      <c r="DP97" s="142"/>
      <c r="DQ97" s="142"/>
      <c r="DR97" s="142"/>
      <c r="DS97" s="142"/>
      <c r="DT97" s="142"/>
      <c r="DU97" s="142"/>
      <c r="DV97" s="142"/>
    </row>
    <row r="98" spans="1:126" ht="15.75" customHeight="1">
      <c r="A98" s="1739" t="s">
        <v>222</v>
      </c>
      <c r="B98" s="525" t="s">
        <v>219</v>
      </c>
      <c r="C98" s="22">
        <f t="shared" si="114"/>
        <v>0</v>
      </c>
      <c r="D98" s="27"/>
      <c r="E98" s="140"/>
      <c r="F98" s="23"/>
      <c r="G98" s="30"/>
      <c r="H98" s="527" t="str">
        <f t="shared" si="115"/>
        <v/>
      </c>
      <c r="J98" s="529"/>
      <c r="K98" s="529"/>
      <c r="L98" s="529"/>
      <c r="M98" s="529"/>
      <c r="N98" s="529"/>
      <c r="AV98" s="346"/>
      <c r="BQ98" s="5"/>
      <c r="BR98" s="6"/>
      <c r="BS98" s="6"/>
      <c r="BT98" s="6"/>
      <c r="CA98" s="290"/>
      <c r="CB98" s="290"/>
      <c r="CC98" s="290"/>
      <c r="CD98" s="290"/>
      <c r="CE98" s="290"/>
      <c r="CF98" s="290"/>
      <c r="CG98" s="290"/>
      <c r="CH98" s="383" t="str">
        <f t="shared" si="116"/>
        <v/>
      </c>
      <c r="CI98" s="383" t="str">
        <f t="shared" si="117"/>
        <v/>
      </c>
      <c r="CJ98" s="383"/>
      <c r="CK98" s="383"/>
      <c r="CL98" s="355"/>
      <c r="CM98" s="355"/>
      <c r="CN98" s="355"/>
      <c r="CO98" s="355"/>
      <c r="CP98" s="355"/>
      <c r="CQ98" s="355"/>
      <c r="CR98" s="355"/>
      <c r="CS98" s="355"/>
      <c r="CT98" s="355"/>
      <c r="CU98" s="355"/>
      <c r="CV98" s="355"/>
      <c r="CW98" s="355"/>
      <c r="CX98" s="355"/>
      <c r="CY98" s="355"/>
      <c r="CZ98" s="355"/>
      <c r="DA98" s="355"/>
      <c r="DB98" s="290"/>
      <c r="DC98" s="290"/>
      <c r="DD98" s="142"/>
      <c r="DE98" s="142"/>
      <c r="DF98" s="385">
        <f t="shared" si="118"/>
        <v>0</v>
      </c>
      <c r="DG98" s="385">
        <f t="shared" si="118"/>
        <v>0</v>
      </c>
      <c r="DH98" s="385">
        <f t="shared" si="119"/>
        <v>0</v>
      </c>
      <c r="DI98" s="385">
        <f t="shared" si="119"/>
        <v>0</v>
      </c>
      <c r="DJ98" s="142"/>
      <c r="DK98" s="142"/>
      <c r="DL98" s="142"/>
      <c r="DM98" s="142"/>
      <c r="DN98" s="142"/>
      <c r="DO98" s="142"/>
      <c r="DP98" s="142"/>
      <c r="DQ98" s="142"/>
      <c r="DR98" s="142"/>
      <c r="DS98" s="142"/>
      <c r="DT98" s="142"/>
      <c r="DU98" s="142"/>
      <c r="DV98" s="142"/>
    </row>
    <row r="99" spans="1:126" ht="15.75" customHeight="1">
      <c r="A99" s="1864"/>
      <c r="B99" s="528" t="s">
        <v>172</v>
      </c>
      <c r="C99" s="69">
        <f t="shared" si="114"/>
        <v>0</v>
      </c>
      <c r="D99" s="57"/>
      <c r="E99" s="526"/>
      <c r="F99" s="54"/>
      <c r="G99" s="60"/>
      <c r="H99" s="527" t="str">
        <f t="shared" si="115"/>
        <v/>
      </c>
      <c r="J99" s="536"/>
      <c r="K99" s="536"/>
      <c r="L99" s="536"/>
      <c r="M99" s="536"/>
      <c r="N99" s="536"/>
      <c r="AV99" s="346"/>
      <c r="BQ99" s="5"/>
      <c r="CA99" s="290"/>
      <c r="CB99" s="290"/>
      <c r="CC99" s="290"/>
      <c r="CD99" s="290"/>
      <c r="CE99" s="290"/>
      <c r="CF99" s="290"/>
      <c r="CG99" s="290"/>
      <c r="CH99" s="383" t="str">
        <f t="shared" si="116"/>
        <v/>
      </c>
      <c r="CI99" s="383" t="str">
        <f t="shared" si="117"/>
        <v/>
      </c>
      <c r="CJ99" s="383"/>
      <c r="CK99" s="383"/>
      <c r="CL99" s="355"/>
      <c r="CM99" s="355"/>
      <c r="CN99" s="355"/>
      <c r="CO99" s="355"/>
      <c r="CP99" s="355"/>
      <c r="CQ99" s="355"/>
      <c r="CR99" s="355"/>
      <c r="CS99" s="355"/>
      <c r="CT99" s="355"/>
      <c r="CU99" s="355"/>
      <c r="CV99" s="355"/>
      <c r="CW99" s="355"/>
      <c r="CX99" s="355"/>
      <c r="CY99" s="355"/>
      <c r="CZ99" s="355"/>
      <c r="DA99" s="355"/>
      <c r="DB99" s="290"/>
      <c r="DC99" s="290"/>
      <c r="DD99" s="142"/>
      <c r="DE99" s="142"/>
      <c r="DF99" s="385">
        <f t="shared" si="118"/>
        <v>0</v>
      </c>
      <c r="DG99" s="385">
        <f t="shared" si="118"/>
        <v>0</v>
      </c>
      <c r="DH99" s="385">
        <f t="shared" si="119"/>
        <v>0</v>
      </c>
      <c r="DI99" s="385">
        <f t="shared" si="119"/>
        <v>0</v>
      </c>
      <c r="DJ99" s="142"/>
      <c r="DK99" s="142"/>
      <c r="DL99" s="142"/>
      <c r="DM99" s="142"/>
      <c r="DN99" s="142"/>
      <c r="DO99" s="142"/>
      <c r="DP99" s="142"/>
      <c r="DQ99" s="142"/>
      <c r="DR99" s="142"/>
      <c r="DS99" s="142"/>
      <c r="DT99" s="142"/>
      <c r="DU99" s="142"/>
      <c r="DV99" s="142"/>
    </row>
    <row r="100" spans="1:126" ht="15.75" customHeight="1">
      <c r="A100" s="1865"/>
      <c r="B100" s="528" t="s">
        <v>173</v>
      </c>
      <c r="C100" s="69">
        <f t="shared" si="114"/>
        <v>0</v>
      </c>
      <c r="D100" s="57"/>
      <c r="E100" s="526"/>
      <c r="F100" s="54"/>
      <c r="G100" s="60"/>
      <c r="H100" s="527" t="str">
        <f t="shared" si="115"/>
        <v/>
      </c>
      <c r="J100" s="536"/>
      <c r="K100" s="536"/>
      <c r="L100" s="536"/>
      <c r="M100" s="536"/>
      <c r="N100" s="536"/>
      <c r="AV100" s="346"/>
      <c r="BQ100" s="5"/>
      <c r="CA100" s="290"/>
      <c r="CB100" s="290"/>
      <c r="CC100" s="290"/>
      <c r="CD100" s="290"/>
      <c r="CE100" s="290"/>
      <c r="CF100" s="290"/>
      <c r="CG100" s="290"/>
      <c r="CH100" s="383" t="str">
        <f t="shared" si="116"/>
        <v/>
      </c>
      <c r="CI100" s="383" t="str">
        <f t="shared" si="117"/>
        <v/>
      </c>
      <c r="CJ100" s="383"/>
      <c r="CK100" s="383"/>
      <c r="CL100" s="355"/>
      <c r="CM100" s="355"/>
      <c r="CN100" s="355"/>
      <c r="CO100" s="355"/>
      <c r="CP100" s="355"/>
      <c r="CQ100" s="355"/>
      <c r="CR100" s="355"/>
      <c r="CS100" s="355"/>
      <c r="CT100" s="355"/>
      <c r="CU100" s="355"/>
      <c r="CV100" s="355"/>
      <c r="CW100" s="355"/>
      <c r="CX100" s="355"/>
      <c r="CY100" s="355"/>
      <c r="CZ100" s="355"/>
      <c r="DA100" s="355"/>
      <c r="DB100" s="290"/>
      <c r="DC100" s="290"/>
      <c r="DD100" s="142"/>
      <c r="DE100" s="142"/>
      <c r="DF100" s="385">
        <f t="shared" si="118"/>
        <v>0</v>
      </c>
      <c r="DG100" s="385">
        <f t="shared" si="118"/>
        <v>0</v>
      </c>
      <c r="DH100" s="385">
        <f t="shared" si="119"/>
        <v>0</v>
      </c>
      <c r="DI100" s="385">
        <f t="shared" si="119"/>
        <v>0</v>
      </c>
      <c r="DJ100" s="142"/>
      <c r="DK100" s="142"/>
      <c r="DL100" s="142"/>
      <c r="DM100" s="142"/>
      <c r="DN100" s="142"/>
      <c r="DO100" s="142"/>
      <c r="DP100" s="142"/>
      <c r="DQ100" s="142"/>
      <c r="DR100" s="142"/>
      <c r="DS100" s="142"/>
      <c r="DT100" s="142"/>
      <c r="DU100" s="142"/>
      <c r="DV100" s="142"/>
    </row>
    <row r="101" spans="1:126" ht="15.75" customHeight="1">
      <c r="A101" s="1865"/>
      <c r="B101" s="528" t="s">
        <v>174</v>
      </c>
      <c r="C101" s="69">
        <f t="shared" si="114"/>
        <v>0</v>
      </c>
      <c r="D101" s="57"/>
      <c r="E101" s="526"/>
      <c r="F101" s="54"/>
      <c r="G101" s="60"/>
      <c r="H101" s="527" t="str">
        <f t="shared" si="115"/>
        <v/>
      </c>
      <c r="J101" s="536"/>
      <c r="K101" s="536"/>
      <c r="L101" s="536"/>
      <c r="M101" s="536"/>
      <c r="N101" s="536"/>
      <c r="AV101" s="346"/>
      <c r="BQ101" s="5"/>
      <c r="CA101" s="290"/>
      <c r="CB101" s="290"/>
      <c r="CC101" s="290"/>
      <c r="CD101" s="290"/>
      <c r="CE101" s="290"/>
      <c r="CF101" s="290"/>
      <c r="CG101" s="290"/>
      <c r="CH101" s="383" t="str">
        <f t="shared" si="116"/>
        <v/>
      </c>
      <c r="CI101" s="383" t="str">
        <f t="shared" si="117"/>
        <v/>
      </c>
      <c r="CJ101" s="383"/>
      <c r="CK101" s="383"/>
      <c r="CL101" s="355"/>
      <c r="CM101" s="355"/>
      <c r="CN101" s="355"/>
      <c r="CO101" s="355"/>
      <c r="CP101" s="355"/>
      <c r="CQ101" s="355"/>
      <c r="CR101" s="355"/>
      <c r="CS101" s="355"/>
      <c r="CT101" s="355"/>
      <c r="CU101" s="355"/>
      <c r="CV101" s="355"/>
      <c r="CW101" s="355"/>
      <c r="CX101" s="355"/>
      <c r="CY101" s="355"/>
      <c r="CZ101" s="355"/>
      <c r="DA101" s="355"/>
      <c r="DB101" s="290"/>
      <c r="DC101" s="290"/>
      <c r="DD101" s="142"/>
      <c r="DE101" s="142"/>
      <c r="DF101" s="385">
        <f t="shared" si="118"/>
        <v>0</v>
      </c>
      <c r="DG101" s="385">
        <f t="shared" si="118"/>
        <v>0</v>
      </c>
      <c r="DH101" s="385">
        <f t="shared" si="119"/>
        <v>0</v>
      </c>
      <c r="DI101" s="385">
        <f t="shared" si="119"/>
        <v>0</v>
      </c>
      <c r="DJ101" s="142"/>
      <c r="DK101" s="142"/>
      <c r="DL101" s="142"/>
      <c r="DM101" s="142"/>
      <c r="DN101" s="142"/>
      <c r="DO101" s="142"/>
      <c r="DP101" s="142"/>
      <c r="DQ101" s="142"/>
      <c r="DR101" s="142"/>
      <c r="DS101" s="142"/>
      <c r="DT101" s="142"/>
      <c r="DU101" s="142"/>
      <c r="DV101" s="142"/>
    </row>
    <row r="102" spans="1:126" ht="15.75" customHeight="1">
      <c r="A102" s="1865"/>
      <c r="B102" s="530" t="s">
        <v>175</v>
      </c>
      <c r="C102" s="176">
        <f>SUM(D102:E102)</f>
        <v>0</v>
      </c>
      <c r="D102" s="64"/>
      <c r="E102" s="531"/>
      <c r="F102" s="61"/>
      <c r="G102" s="67"/>
      <c r="H102" s="527" t="str">
        <f t="shared" si="115"/>
        <v/>
      </c>
      <c r="J102" s="536"/>
      <c r="K102" s="536"/>
      <c r="L102" s="536"/>
      <c r="M102" s="536"/>
      <c r="N102" s="536"/>
      <c r="AV102" s="346"/>
      <c r="BQ102" s="5"/>
      <c r="CA102" s="290"/>
      <c r="CB102" s="290"/>
      <c r="CC102" s="290"/>
      <c r="CD102" s="290"/>
      <c r="CE102" s="290"/>
      <c r="CF102" s="290"/>
      <c r="CG102" s="290"/>
      <c r="CH102" s="383" t="str">
        <f t="shared" si="116"/>
        <v/>
      </c>
      <c r="CI102" s="383" t="str">
        <f t="shared" si="117"/>
        <v/>
      </c>
      <c r="CJ102" s="383"/>
      <c r="CK102" s="383"/>
      <c r="CL102" s="355"/>
      <c r="CM102" s="355"/>
      <c r="CN102" s="355"/>
      <c r="CO102" s="355"/>
      <c r="CP102" s="355"/>
      <c r="CQ102" s="355"/>
      <c r="CR102" s="355"/>
      <c r="CS102" s="355"/>
      <c r="CT102" s="355"/>
      <c r="CU102" s="355"/>
      <c r="CV102" s="355"/>
      <c r="CW102" s="355"/>
      <c r="CX102" s="355"/>
      <c r="CY102" s="355"/>
      <c r="CZ102" s="355"/>
      <c r="DA102" s="355"/>
      <c r="DB102" s="290"/>
      <c r="DC102" s="290"/>
      <c r="DD102" s="142"/>
      <c r="DE102" s="142"/>
      <c r="DF102" s="385">
        <f t="shared" si="118"/>
        <v>0</v>
      </c>
      <c r="DG102" s="385">
        <f t="shared" si="118"/>
        <v>0</v>
      </c>
      <c r="DH102" s="385">
        <f t="shared" si="119"/>
        <v>0</v>
      </c>
      <c r="DI102" s="385">
        <f t="shared" si="119"/>
        <v>0</v>
      </c>
      <c r="DJ102" s="142"/>
      <c r="DK102" s="142"/>
      <c r="DL102" s="142"/>
      <c r="DM102" s="142"/>
      <c r="DN102" s="142"/>
      <c r="DO102" s="142"/>
      <c r="DP102" s="142"/>
      <c r="DQ102" s="142"/>
      <c r="DR102" s="142"/>
      <c r="DS102" s="142"/>
      <c r="DT102" s="142"/>
      <c r="DU102" s="142"/>
      <c r="DV102" s="142"/>
    </row>
    <row r="103" spans="1:126" ht="15.75" customHeight="1">
      <c r="A103" s="1865"/>
      <c r="B103" s="530" t="s">
        <v>176</v>
      </c>
      <c r="C103" s="176">
        <f>SUM(D103:E103)</f>
        <v>0</v>
      </c>
      <c r="D103" s="64"/>
      <c r="E103" s="531"/>
      <c r="F103" s="61"/>
      <c r="G103" s="67"/>
      <c r="H103" s="527" t="str">
        <f t="shared" si="115"/>
        <v/>
      </c>
      <c r="J103" s="536"/>
      <c r="K103" s="536"/>
      <c r="L103" s="536"/>
      <c r="M103" s="536"/>
      <c r="N103" s="536"/>
      <c r="AV103" s="346"/>
      <c r="BQ103" s="5"/>
      <c r="CA103" s="290"/>
      <c r="CB103" s="290"/>
      <c r="CC103" s="290"/>
      <c r="CD103" s="290"/>
      <c r="CE103" s="290"/>
      <c r="CF103" s="290"/>
      <c r="CG103" s="290"/>
      <c r="CH103" s="383" t="str">
        <f t="shared" si="116"/>
        <v/>
      </c>
      <c r="CI103" s="383" t="str">
        <f t="shared" si="117"/>
        <v/>
      </c>
      <c r="CJ103" s="383"/>
      <c r="CK103" s="383"/>
      <c r="CL103" s="355"/>
      <c r="CM103" s="355"/>
      <c r="CN103" s="355"/>
      <c r="CO103" s="355"/>
      <c r="CP103" s="355"/>
      <c r="CQ103" s="355"/>
      <c r="CR103" s="355"/>
      <c r="CS103" s="355"/>
      <c r="CT103" s="355"/>
      <c r="CU103" s="355"/>
      <c r="CV103" s="355"/>
      <c r="CW103" s="355"/>
      <c r="CX103" s="355"/>
      <c r="CY103" s="355"/>
      <c r="CZ103" s="355"/>
      <c r="DA103" s="355"/>
      <c r="DB103" s="290"/>
      <c r="DC103" s="290"/>
      <c r="DD103" s="142"/>
      <c r="DE103" s="142"/>
      <c r="DF103" s="385">
        <f t="shared" si="118"/>
        <v>0</v>
      </c>
      <c r="DG103" s="385">
        <f t="shared" si="118"/>
        <v>0</v>
      </c>
      <c r="DH103" s="385">
        <f>IF(AND($C103&lt;&gt;0,F103=""),1,0)</f>
        <v>0</v>
      </c>
      <c r="DI103" s="385">
        <f t="shared" si="119"/>
        <v>0</v>
      </c>
      <c r="DJ103" s="142"/>
      <c r="DK103" s="142"/>
      <c r="DL103" s="142"/>
      <c r="DM103" s="142"/>
      <c r="DN103" s="142"/>
      <c r="DO103" s="142"/>
      <c r="DP103" s="142"/>
      <c r="DQ103" s="142"/>
      <c r="DR103" s="142"/>
      <c r="DS103" s="142"/>
      <c r="DT103" s="142"/>
      <c r="DU103" s="142"/>
      <c r="DV103" s="142"/>
    </row>
    <row r="104" spans="1:126" ht="15.75" customHeight="1">
      <c r="A104" s="1740"/>
      <c r="B104" s="532" t="s">
        <v>177</v>
      </c>
      <c r="C104" s="78">
        <f>SUM(D104:E104)</f>
        <v>0</v>
      </c>
      <c r="D104" s="81"/>
      <c r="E104" s="533"/>
      <c r="F104" s="79"/>
      <c r="G104" s="84"/>
      <c r="H104" s="527" t="str">
        <f t="shared" si="115"/>
        <v/>
      </c>
      <c r="J104" s="349"/>
      <c r="K104" s="349"/>
      <c r="AV104" s="346"/>
      <c r="BQ104" s="5"/>
      <c r="CA104" s="290"/>
      <c r="CB104" s="290"/>
      <c r="CC104" s="290"/>
      <c r="CD104" s="290"/>
      <c r="CE104" s="290"/>
      <c r="CF104" s="290"/>
      <c r="CG104" s="290"/>
      <c r="CH104" s="383" t="str">
        <f t="shared" si="116"/>
        <v/>
      </c>
      <c r="CI104" s="383" t="str">
        <f t="shared" si="117"/>
        <v/>
      </c>
      <c r="CJ104" s="383"/>
      <c r="CK104" s="383"/>
      <c r="CL104" s="355"/>
      <c r="CM104" s="355"/>
      <c r="CN104" s="355"/>
      <c r="CO104" s="355"/>
      <c r="CP104" s="355"/>
      <c r="CQ104" s="355"/>
      <c r="CR104" s="355"/>
      <c r="CS104" s="355"/>
      <c r="CT104" s="355"/>
      <c r="CU104" s="355"/>
      <c r="CV104" s="355"/>
      <c r="CW104" s="355"/>
      <c r="CX104" s="355"/>
      <c r="CY104" s="355"/>
      <c r="CZ104" s="355"/>
      <c r="DA104" s="355"/>
      <c r="DB104" s="290"/>
      <c r="DC104" s="290"/>
      <c r="DD104" s="142"/>
      <c r="DE104" s="142"/>
      <c r="DF104" s="385">
        <f t="shared" si="118"/>
        <v>0</v>
      </c>
      <c r="DG104" s="385">
        <f t="shared" si="118"/>
        <v>0</v>
      </c>
      <c r="DH104" s="385">
        <f t="shared" si="119"/>
        <v>0</v>
      </c>
      <c r="DI104" s="385">
        <f t="shared" si="119"/>
        <v>0</v>
      </c>
      <c r="DJ104" s="142"/>
      <c r="DK104" s="142"/>
      <c r="DL104" s="142"/>
      <c r="DM104" s="142"/>
      <c r="DN104" s="142"/>
      <c r="DO104" s="142"/>
      <c r="DP104" s="142"/>
      <c r="DQ104" s="142"/>
      <c r="DR104" s="142"/>
      <c r="DS104" s="142"/>
      <c r="DT104" s="142"/>
      <c r="DU104" s="142"/>
      <c r="DV104" s="142"/>
    </row>
    <row r="105" spans="1:126" ht="27" customHeight="1">
      <c r="A105" s="518" t="s">
        <v>223</v>
      </c>
      <c r="B105" s="519"/>
      <c r="C105" s="519"/>
      <c r="D105" s="519"/>
      <c r="E105" s="519"/>
      <c r="F105" s="519"/>
      <c r="G105" s="519"/>
      <c r="H105" s="519"/>
      <c r="I105" s="519"/>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row>
    <row r="106" spans="1:126" ht="12.75" customHeight="1">
      <c r="A106" s="1758" t="s">
        <v>224</v>
      </c>
      <c r="B106" s="1785"/>
      <c r="C106" s="1835" t="s">
        <v>5</v>
      </c>
      <c r="D106" s="1884" t="s">
        <v>225</v>
      </c>
      <c r="E106" s="1860" t="s">
        <v>165</v>
      </c>
      <c r="F106" s="1860" t="s">
        <v>166</v>
      </c>
      <c r="G106" s="1860" t="s">
        <v>167</v>
      </c>
      <c r="H106" s="1860" t="s">
        <v>168</v>
      </c>
      <c r="I106" s="1860" t="s">
        <v>169</v>
      </c>
      <c r="J106" s="1862" t="s">
        <v>170</v>
      </c>
      <c r="K106" s="1878" t="s">
        <v>226</v>
      </c>
      <c r="L106" s="1880" t="s">
        <v>227</v>
      </c>
      <c r="M106" s="1882" t="s">
        <v>7</v>
      </c>
      <c r="N106" s="1706" t="s">
        <v>58</v>
      </c>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BR106" s="346"/>
    </row>
    <row r="107" spans="1:126" ht="54.75" customHeight="1">
      <c r="A107" s="1788"/>
      <c r="B107" s="1789"/>
      <c r="C107" s="1836"/>
      <c r="D107" s="1885"/>
      <c r="E107" s="1861"/>
      <c r="F107" s="1861"/>
      <c r="G107" s="1861"/>
      <c r="H107" s="1861"/>
      <c r="I107" s="1861"/>
      <c r="J107" s="1863"/>
      <c r="K107" s="1879"/>
      <c r="L107" s="1881"/>
      <c r="M107" s="1883"/>
      <c r="N107" s="1707"/>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BR107" s="346"/>
    </row>
    <row r="108" spans="1:126" ht="21" customHeight="1">
      <c r="A108" s="1847" t="s">
        <v>228</v>
      </c>
      <c r="B108" s="537" t="s">
        <v>229</v>
      </c>
      <c r="C108" s="387">
        <f>SUM(D108:K108)</f>
        <v>0</v>
      </c>
      <c r="D108" s="390"/>
      <c r="E108" s="398"/>
      <c r="F108" s="398"/>
      <c r="G108" s="398"/>
      <c r="H108" s="398"/>
      <c r="I108" s="398"/>
      <c r="J108" s="392"/>
      <c r="K108" s="538"/>
      <c r="L108" s="539"/>
      <c r="M108" s="540"/>
      <c r="N108" s="540"/>
      <c r="O108" s="541" t="str">
        <f>CF108&amp;CH108&amp;CI108&amp;CJ108&amp;CK108</f>
        <v/>
      </c>
      <c r="AW108" s="350"/>
      <c r="BR108" s="346"/>
      <c r="CA108" s="290"/>
      <c r="CB108" s="290"/>
      <c r="CC108" s="290"/>
      <c r="CD108" s="290"/>
      <c r="CE108" s="290"/>
      <c r="CF108" s="290"/>
      <c r="CG108" s="290"/>
      <c r="CH108" s="383" t="str">
        <f>IF(M108&gt;$C108," * El Total de Pueblos Originarios no puede ser mayor que el Total. ","")</f>
        <v/>
      </c>
      <c r="CI108" s="383" t="str">
        <f>IF(N108&gt;$C108," * El Total según Población Migrante no puede ser mayor que el Total. ","")</f>
        <v/>
      </c>
      <c r="CJ108" s="383" t="str">
        <f>IF(AND($C108&lt;&gt;0,M108=""),"* No olvide ingresar el total según Pueblos Originarios (Digite 0 si no tiene). ","")</f>
        <v/>
      </c>
      <c r="CK108" s="383" t="str">
        <f>IF(AND($C108&lt;&gt;0,N108=""),"* No olvide ingresar el total según Pueblos Originarios (Digite 0 si no tiene). ","")</f>
        <v/>
      </c>
      <c r="CL108" s="355"/>
      <c r="CM108" s="355"/>
      <c r="CN108" s="355"/>
      <c r="CO108" s="355"/>
      <c r="CP108" s="355"/>
      <c r="CQ108" s="355"/>
      <c r="CR108" s="355"/>
      <c r="CS108" s="355"/>
      <c r="CT108" s="355"/>
      <c r="CU108" s="355"/>
      <c r="CV108" s="355"/>
      <c r="CW108" s="355"/>
      <c r="CX108" s="355"/>
      <c r="CY108" s="355"/>
      <c r="CZ108" s="355"/>
      <c r="DA108" s="355"/>
      <c r="DB108" s="290"/>
      <c r="DC108" s="290"/>
      <c r="DD108" s="142"/>
      <c r="DE108" s="142"/>
      <c r="DF108" s="385">
        <f>IF(M108&gt;$C108,1,0)</f>
        <v>0</v>
      </c>
      <c r="DG108" s="385">
        <f>IF(N108&gt;$C108,1,0)</f>
        <v>0</v>
      </c>
      <c r="DH108" s="385">
        <f>IF(AND($C108&lt;&gt;0,N108=""),1,0)</f>
        <v>0</v>
      </c>
      <c r="DI108" s="385">
        <f>IF(AND($C108&lt;&gt;0,N108=""),1,0)</f>
        <v>0</v>
      </c>
      <c r="DJ108" s="142"/>
      <c r="DK108" s="142"/>
      <c r="DL108" s="142"/>
      <c r="DM108" s="142"/>
      <c r="DN108" s="142"/>
      <c r="DO108" s="142"/>
      <c r="DP108" s="142"/>
      <c r="DQ108" s="142"/>
      <c r="DR108" s="142"/>
      <c r="DS108" s="142"/>
      <c r="DT108" s="142"/>
      <c r="DU108" s="142"/>
      <c r="DV108" s="142"/>
    </row>
    <row r="109" spans="1:126" ht="21" customHeight="1">
      <c r="A109" s="1848"/>
      <c r="B109" s="542" t="s">
        <v>230</v>
      </c>
      <c r="C109" s="543">
        <f>SUM(D109:K109)</f>
        <v>0</v>
      </c>
      <c r="D109" s="457"/>
      <c r="E109" s="463"/>
      <c r="F109" s="463"/>
      <c r="G109" s="463"/>
      <c r="H109" s="463"/>
      <c r="I109" s="463"/>
      <c r="J109" s="458"/>
      <c r="K109" s="544"/>
      <c r="L109" s="545"/>
      <c r="M109" s="540"/>
      <c r="N109" s="540"/>
      <c r="O109" s="541" t="str">
        <f t="shared" ref="O109:O110" si="120">CF109&amp;CH109&amp;CI109&amp;CJ109&amp;CK109</f>
        <v/>
      </c>
      <c r="AW109" s="350"/>
      <c r="BR109" s="346"/>
      <c r="BT109" s="6"/>
      <c r="BU109" s="6"/>
      <c r="BV109" s="6"/>
      <c r="CA109" s="290"/>
      <c r="CB109" s="290"/>
      <c r="CC109" s="290"/>
      <c r="CD109" s="290"/>
      <c r="CE109" s="290"/>
      <c r="CF109" s="383" t="str">
        <f>IF($C109&lt;$L109, "* Total de Niños y Niñas que han recibido VDI no puede ser mayor que el total Score Moderado. ","")</f>
        <v/>
      </c>
      <c r="CG109" s="290"/>
      <c r="CH109" s="383" t="str">
        <f t="shared" ref="CH109:CH110" si="121">IF(M109&gt;$C109," * El Total de Pueblos Originarios no puede ser mayor que el Total. ","")</f>
        <v/>
      </c>
      <c r="CI109" s="383" t="str">
        <f t="shared" ref="CI109:CI110" si="122">IF(N109&gt;$C109," * El Total según Población Migrante no puede ser mayor que el Total. ","")</f>
        <v/>
      </c>
      <c r="CJ109" s="383" t="str">
        <f t="shared" ref="CJ109:CK110" si="123">IF(AND($C109&lt;&gt;0,M109=""),"* No olvide ingresar el total según Pueblos Originarios (Digite 0 si no tiene). ","")</f>
        <v/>
      </c>
      <c r="CK109" s="383" t="str">
        <f t="shared" si="123"/>
        <v/>
      </c>
      <c r="CL109" s="355"/>
      <c r="CM109" s="355"/>
      <c r="CN109" s="355"/>
      <c r="CO109" s="355"/>
      <c r="CP109" s="355"/>
      <c r="CQ109" s="355"/>
      <c r="CR109" s="355"/>
      <c r="CS109" s="355"/>
      <c r="CT109" s="355"/>
      <c r="CU109" s="355"/>
      <c r="CV109" s="355"/>
      <c r="CW109" s="355"/>
      <c r="CX109" s="355"/>
      <c r="CY109" s="355"/>
      <c r="CZ109" s="355"/>
      <c r="DA109" s="355"/>
      <c r="DB109" s="290"/>
      <c r="DC109" s="290"/>
      <c r="DD109" s="385">
        <f>IF($C109&lt;$L109, 1,0)</f>
        <v>0</v>
      </c>
      <c r="DE109" s="142"/>
      <c r="DF109" s="385">
        <f t="shared" ref="DF109:DG110" si="124">IF(M109&gt;$C109,1,0)</f>
        <v>0</v>
      </c>
      <c r="DG109" s="385">
        <f t="shared" si="124"/>
        <v>0</v>
      </c>
      <c r="DH109" s="385">
        <f t="shared" ref="DH109:DH110" si="125">IF(AND($C109&lt;&gt;0,N109=""),1,0)</f>
        <v>0</v>
      </c>
      <c r="DI109" s="385">
        <f t="shared" ref="DI109:DI110" si="126">IF(AND($C109&lt;&gt;0,N109=""),1,0)</f>
        <v>0</v>
      </c>
      <c r="DJ109" s="142"/>
      <c r="DK109" s="142"/>
      <c r="DL109" s="142"/>
      <c r="DM109" s="142"/>
      <c r="DN109" s="142"/>
      <c r="DO109" s="142"/>
      <c r="DP109" s="142"/>
      <c r="DQ109" s="142"/>
      <c r="DR109" s="142"/>
      <c r="DS109" s="142"/>
      <c r="DT109" s="142"/>
      <c r="DU109" s="142"/>
      <c r="DV109" s="142"/>
    </row>
    <row r="110" spans="1:126" ht="21" customHeight="1">
      <c r="A110" s="1848"/>
      <c r="B110" s="546" t="s">
        <v>231</v>
      </c>
      <c r="C110" s="547">
        <f>SUM(D110:K110)</f>
        <v>0</v>
      </c>
      <c r="D110" s="401"/>
      <c r="E110" s="409"/>
      <c r="F110" s="409"/>
      <c r="G110" s="409"/>
      <c r="H110" s="409"/>
      <c r="I110" s="409"/>
      <c r="J110" s="403"/>
      <c r="K110" s="548"/>
      <c r="L110" s="549"/>
      <c r="M110" s="402"/>
      <c r="N110" s="402"/>
      <c r="O110" s="541" t="str">
        <f t="shared" si="120"/>
        <v/>
      </c>
      <c r="AW110" s="350"/>
      <c r="BR110" s="346"/>
      <c r="BT110" s="6"/>
      <c r="BU110" s="6"/>
      <c r="BV110" s="6"/>
      <c r="CA110" s="290"/>
      <c r="CB110" s="290"/>
      <c r="CC110" s="290"/>
      <c r="CD110" s="290"/>
      <c r="CE110" s="290"/>
      <c r="CF110" s="383" t="str">
        <f>IF($C110&lt;$L110, "* Total de Niños y Niñas que han recibido VDI no puede ser mayor que el total Score Grave. ","")</f>
        <v/>
      </c>
      <c r="CG110" s="290"/>
      <c r="CH110" s="383" t="str">
        <f t="shared" si="121"/>
        <v/>
      </c>
      <c r="CI110" s="383" t="str">
        <f t="shared" si="122"/>
        <v/>
      </c>
      <c r="CJ110" s="383" t="str">
        <f t="shared" si="123"/>
        <v/>
      </c>
      <c r="CK110" s="383" t="str">
        <f t="shared" si="123"/>
        <v/>
      </c>
      <c r="CL110" s="355"/>
      <c r="CM110" s="355"/>
      <c r="CN110" s="355"/>
      <c r="CO110" s="355"/>
      <c r="CP110" s="355"/>
      <c r="CQ110" s="355"/>
      <c r="CR110" s="355"/>
      <c r="CS110" s="355"/>
      <c r="CT110" s="355"/>
      <c r="CU110" s="355"/>
      <c r="CV110" s="355"/>
      <c r="CW110" s="355"/>
      <c r="CX110" s="355"/>
      <c r="CY110" s="355"/>
      <c r="CZ110" s="355"/>
      <c r="DA110" s="355"/>
      <c r="DB110" s="290"/>
      <c r="DC110" s="290"/>
      <c r="DD110" s="385">
        <f>IF($C110&lt;$L110,1,0)</f>
        <v>0</v>
      </c>
      <c r="DE110" s="142"/>
      <c r="DF110" s="385">
        <f t="shared" si="124"/>
        <v>0</v>
      </c>
      <c r="DG110" s="385">
        <f t="shared" si="124"/>
        <v>0</v>
      </c>
      <c r="DH110" s="385">
        <f t="shared" si="125"/>
        <v>0</v>
      </c>
      <c r="DI110" s="385">
        <f t="shared" si="126"/>
        <v>0</v>
      </c>
      <c r="DJ110" s="142"/>
      <c r="DK110" s="142"/>
      <c r="DL110" s="142"/>
      <c r="DM110" s="142"/>
      <c r="DN110" s="142"/>
      <c r="DO110" s="142"/>
      <c r="DP110" s="142"/>
      <c r="DQ110" s="142"/>
      <c r="DR110" s="142"/>
      <c r="DS110" s="142"/>
      <c r="DT110" s="142"/>
      <c r="DU110" s="142"/>
      <c r="DV110" s="142"/>
    </row>
    <row r="111" spans="1:126" ht="21" customHeight="1">
      <c r="A111" s="1849"/>
      <c r="B111" s="550" t="s">
        <v>5</v>
      </c>
      <c r="C111" s="551">
        <f>SUM(D111:K111)</f>
        <v>0</v>
      </c>
      <c r="D111" s="412">
        <f t="shared" ref="D111:K111" si="127">SUM(D108:D110)</f>
        <v>0</v>
      </c>
      <c r="E111" s="418">
        <f t="shared" si="127"/>
        <v>0</v>
      </c>
      <c r="F111" s="418">
        <f t="shared" si="127"/>
        <v>0</v>
      </c>
      <c r="G111" s="418">
        <f t="shared" si="127"/>
        <v>0</v>
      </c>
      <c r="H111" s="418">
        <f t="shared" si="127"/>
        <v>0</v>
      </c>
      <c r="I111" s="418">
        <f t="shared" si="127"/>
        <v>0</v>
      </c>
      <c r="J111" s="414">
        <f t="shared" si="127"/>
        <v>0</v>
      </c>
      <c r="K111" s="552">
        <f t="shared" si="127"/>
        <v>0</v>
      </c>
      <c r="L111" s="553">
        <f>SUM(L109:L110)</f>
        <v>0</v>
      </c>
      <c r="M111" s="474">
        <f>SUM(M108:M110)</f>
        <v>0</v>
      </c>
      <c r="N111" s="474">
        <f>SUM(N108:N110)</f>
        <v>0</v>
      </c>
      <c r="AW111" s="350"/>
      <c r="BR111" s="346"/>
      <c r="BT111" s="6"/>
      <c r="BU111" s="6"/>
      <c r="BV111" s="6"/>
      <c r="CA111" s="290"/>
      <c r="CB111" s="290"/>
      <c r="CC111" s="290"/>
      <c r="CD111" s="290"/>
      <c r="CE111" s="290"/>
      <c r="CF111" s="290"/>
      <c r="CG111" s="290"/>
      <c r="CH111" s="290"/>
      <c r="CI111" s="290"/>
      <c r="CJ111" s="290"/>
      <c r="CK111" s="290"/>
      <c r="CL111" s="355"/>
      <c r="CM111" s="355"/>
      <c r="CN111" s="355"/>
      <c r="CO111" s="355"/>
      <c r="CP111" s="355"/>
      <c r="CQ111" s="355"/>
      <c r="CR111" s="355"/>
      <c r="CS111" s="355"/>
      <c r="CT111" s="355"/>
      <c r="CU111" s="355"/>
      <c r="CV111" s="355"/>
      <c r="CW111" s="355"/>
      <c r="CX111" s="355"/>
      <c r="CY111" s="355"/>
      <c r="CZ111" s="355"/>
      <c r="DA111" s="355"/>
      <c r="DB111" s="290"/>
      <c r="DC111" s="290"/>
      <c r="DD111" s="142"/>
      <c r="DE111" s="142"/>
      <c r="DF111" s="142"/>
      <c r="DG111" s="142"/>
      <c r="DH111" s="142"/>
      <c r="DI111" s="142"/>
      <c r="DJ111" s="142"/>
      <c r="DK111" s="142"/>
      <c r="DL111" s="142"/>
      <c r="DM111" s="142"/>
      <c r="DN111" s="142"/>
      <c r="DO111" s="142"/>
      <c r="DP111" s="142"/>
      <c r="DQ111" s="142"/>
      <c r="DR111" s="142"/>
      <c r="DS111" s="142"/>
      <c r="DT111" s="142"/>
      <c r="DU111" s="142"/>
      <c r="DV111" s="142"/>
    </row>
    <row r="112" spans="1:126" ht="34.5" customHeight="1">
      <c r="A112" s="554" t="s">
        <v>232</v>
      </c>
      <c r="B112" s="555"/>
      <c r="C112" s="555"/>
      <c r="D112" s="555"/>
      <c r="E112" s="555"/>
      <c r="F112" s="555"/>
      <c r="G112" s="555"/>
      <c r="H112" s="475"/>
      <c r="I112" s="475"/>
      <c r="BS112" s="556"/>
      <c r="BT112" s="556"/>
      <c r="BU112" s="556"/>
      <c r="CA112" s="290"/>
      <c r="CB112" s="290"/>
      <c r="CC112" s="290"/>
      <c r="CD112" s="290"/>
      <c r="CE112" s="290"/>
      <c r="CF112" s="357"/>
      <c r="CG112" s="357"/>
      <c r="CH112" s="357"/>
      <c r="CI112" s="357"/>
      <c r="CJ112" s="357"/>
      <c r="CK112" s="357"/>
      <c r="CL112" s="355"/>
      <c r="CM112" s="355"/>
      <c r="CN112" s="355"/>
      <c r="CO112" s="355"/>
      <c r="CP112" s="355"/>
      <c r="CQ112" s="355"/>
      <c r="CR112" s="355"/>
      <c r="CS112" s="355"/>
      <c r="CT112" s="355"/>
      <c r="CU112" s="355"/>
      <c r="CV112" s="355"/>
      <c r="CW112" s="355"/>
      <c r="CX112" s="355"/>
      <c r="CY112" s="355"/>
      <c r="CZ112" s="355"/>
      <c r="DA112" s="355"/>
      <c r="DB112" s="357"/>
      <c r="DC112" s="357"/>
      <c r="DD112" s="142"/>
      <c r="DE112" s="142"/>
      <c r="DF112" s="142"/>
      <c r="DG112" s="142"/>
      <c r="DH112" s="142"/>
      <c r="DI112" s="142"/>
      <c r="DJ112" s="142"/>
      <c r="DK112" s="142"/>
      <c r="DL112" s="142"/>
      <c r="DM112" s="142"/>
      <c r="DN112" s="142"/>
      <c r="DO112" s="142"/>
      <c r="DP112" s="142"/>
      <c r="DQ112" s="142"/>
      <c r="DR112" s="142"/>
      <c r="DS112" s="142"/>
      <c r="DT112" s="142"/>
      <c r="DU112" s="142"/>
      <c r="DV112" s="142"/>
    </row>
    <row r="113" spans="1:126" ht="14.25" customHeight="1">
      <c r="A113" s="1758" t="s">
        <v>233</v>
      </c>
      <c r="B113" s="1785"/>
      <c r="C113" s="1835" t="s">
        <v>5</v>
      </c>
      <c r="D113" s="557"/>
      <c r="E113" s="535"/>
      <c r="F113" s="535"/>
      <c r="G113" s="558"/>
      <c r="H113" s="558"/>
      <c r="BS113" s="559"/>
      <c r="BT113" s="559"/>
      <c r="BU113" s="559"/>
      <c r="CA113" s="290"/>
      <c r="CB113" s="290"/>
      <c r="CC113" s="290"/>
      <c r="CD113" s="290"/>
      <c r="CE113" s="290"/>
      <c r="CF113" s="560"/>
      <c r="CG113" s="560"/>
      <c r="CH113" s="560"/>
      <c r="CI113" s="560"/>
      <c r="CJ113" s="560"/>
      <c r="CK113" s="560"/>
      <c r="CL113" s="355"/>
      <c r="CM113" s="355"/>
      <c r="CN113" s="355"/>
      <c r="CO113" s="355"/>
      <c r="CP113" s="355"/>
      <c r="CQ113" s="355"/>
      <c r="CR113" s="355"/>
      <c r="CS113" s="355"/>
      <c r="CT113" s="355"/>
      <c r="CU113" s="355"/>
      <c r="CV113" s="355"/>
      <c r="CW113" s="355"/>
      <c r="CX113" s="355"/>
      <c r="CY113" s="355"/>
      <c r="CZ113" s="355"/>
      <c r="DA113" s="355"/>
      <c r="DB113" s="560"/>
      <c r="DC113" s="560"/>
      <c r="DD113" s="142"/>
      <c r="DE113" s="142"/>
      <c r="DF113" s="142"/>
      <c r="DG113" s="142"/>
      <c r="DH113" s="142"/>
      <c r="DI113" s="142"/>
      <c r="DJ113" s="142"/>
      <c r="DK113" s="142"/>
      <c r="DL113" s="142"/>
      <c r="DM113" s="142"/>
      <c r="DN113" s="142"/>
      <c r="DO113" s="142"/>
      <c r="DP113" s="142"/>
      <c r="DQ113" s="142"/>
      <c r="DR113" s="142"/>
      <c r="DS113" s="142"/>
      <c r="DT113" s="142"/>
      <c r="DU113" s="142"/>
      <c r="DV113" s="142"/>
    </row>
    <row r="114" spans="1:126" ht="12.75" customHeight="1">
      <c r="A114" s="1788"/>
      <c r="B114" s="1789"/>
      <c r="C114" s="1836"/>
      <c r="D114" s="535"/>
      <c r="E114" s="535"/>
      <c r="F114" s="535"/>
      <c r="G114" s="535"/>
      <c r="H114" s="535"/>
      <c r="CA114" s="290"/>
      <c r="CB114" s="290"/>
      <c r="CC114" s="290"/>
      <c r="CD114" s="290"/>
      <c r="CE114" s="290"/>
      <c r="CF114" s="290"/>
      <c r="CG114" s="290"/>
      <c r="CH114" s="290"/>
      <c r="CI114" s="290"/>
      <c r="CJ114" s="290"/>
      <c r="CK114" s="290"/>
      <c r="CL114" s="355"/>
      <c r="CM114" s="355"/>
      <c r="CN114" s="355"/>
      <c r="CO114" s="355"/>
      <c r="CP114" s="355"/>
      <c r="CQ114" s="355"/>
      <c r="CR114" s="355"/>
      <c r="CS114" s="355"/>
      <c r="CT114" s="355"/>
      <c r="CU114" s="355"/>
      <c r="CV114" s="355"/>
      <c r="CW114" s="355"/>
      <c r="CX114" s="355"/>
      <c r="CY114" s="355"/>
      <c r="CZ114" s="355"/>
      <c r="DA114" s="355"/>
      <c r="DB114" s="290"/>
      <c r="DC114" s="290"/>
      <c r="DD114" s="142"/>
      <c r="DE114" s="142"/>
      <c r="DF114" s="142"/>
      <c r="DG114" s="142"/>
      <c r="DH114" s="142"/>
      <c r="DI114" s="142"/>
      <c r="DJ114" s="142"/>
      <c r="DK114" s="142"/>
      <c r="DL114" s="142"/>
      <c r="DM114" s="142"/>
      <c r="DN114" s="142"/>
      <c r="DO114" s="142"/>
      <c r="DP114" s="142"/>
      <c r="DQ114" s="142"/>
      <c r="DR114" s="142"/>
      <c r="DS114" s="142"/>
      <c r="DT114" s="142"/>
      <c r="DU114" s="142"/>
      <c r="DV114" s="142"/>
    </row>
    <row r="115" spans="1:126">
      <c r="A115" s="1850" t="s">
        <v>234</v>
      </c>
      <c r="B115" s="1851"/>
      <c r="C115" s="561"/>
      <c r="E115" s="529"/>
      <c r="F115" s="529"/>
      <c r="G115" s="529"/>
      <c r="H115" s="529"/>
      <c r="CA115" s="290"/>
      <c r="CB115" s="290"/>
      <c r="CC115" s="290"/>
      <c r="CD115" s="290"/>
      <c r="CE115" s="290"/>
      <c r="CF115" s="290"/>
      <c r="CG115" s="290"/>
      <c r="CH115" s="290"/>
      <c r="CI115" s="290"/>
      <c r="CJ115" s="290"/>
      <c r="CK115" s="290"/>
      <c r="CL115" s="355"/>
      <c r="CM115" s="355"/>
      <c r="CN115" s="355"/>
      <c r="CO115" s="355"/>
      <c r="CP115" s="355"/>
      <c r="CQ115" s="355"/>
      <c r="CR115" s="355"/>
      <c r="CS115" s="355"/>
      <c r="CT115" s="355"/>
      <c r="CU115" s="355"/>
      <c r="CV115" s="355"/>
      <c r="CW115" s="355"/>
      <c r="CX115" s="355"/>
      <c r="CY115" s="355"/>
      <c r="CZ115" s="355"/>
      <c r="DA115" s="355"/>
      <c r="DB115" s="290"/>
      <c r="DC115" s="290"/>
      <c r="DD115" s="142"/>
      <c r="DE115" s="142"/>
      <c r="DF115" s="142"/>
      <c r="DG115" s="142"/>
      <c r="DH115" s="142"/>
      <c r="DI115" s="142"/>
      <c r="DJ115" s="142"/>
      <c r="DK115" s="142"/>
      <c r="DL115" s="142"/>
      <c r="DM115" s="142"/>
      <c r="DN115" s="142"/>
      <c r="DO115" s="142"/>
      <c r="DP115" s="142"/>
      <c r="DQ115" s="142"/>
      <c r="DR115" s="142"/>
      <c r="DS115" s="142"/>
      <c r="DT115" s="142"/>
      <c r="DU115" s="142"/>
      <c r="DV115" s="142"/>
    </row>
    <row r="116" spans="1:126" ht="18" customHeight="1">
      <c r="A116" s="1852" t="s">
        <v>235</v>
      </c>
      <c r="B116" s="1853"/>
      <c r="C116" s="562"/>
      <c r="E116" s="529"/>
      <c r="F116" s="529"/>
      <c r="G116" s="529"/>
      <c r="H116" s="529"/>
      <c r="CA116" s="290"/>
      <c r="CB116" s="290"/>
      <c r="CC116" s="290"/>
      <c r="CD116" s="290"/>
      <c r="CE116" s="290"/>
      <c r="CF116" s="290"/>
      <c r="CG116" s="290"/>
      <c r="CH116" s="290"/>
      <c r="CI116" s="290"/>
      <c r="CJ116" s="290"/>
      <c r="CK116" s="290"/>
      <c r="CL116" s="355"/>
      <c r="CM116" s="355"/>
      <c r="CN116" s="355"/>
      <c r="CO116" s="355"/>
      <c r="CP116" s="355"/>
      <c r="CQ116" s="355"/>
      <c r="CR116" s="355"/>
      <c r="CS116" s="355"/>
      <c r="CT116" s="355"/>
      <c r="CU116" s="355"/>
      <c r="CV116" s="355"/>
      <c r="CW116" s="355"/>
      <c r="CX116" s="355"/>
      <c r="CY116" s="355"/>
      <c r="CZ116" s="355"/>
      <c r="DA116" s="355"/>
      <c r="DB116" s="290"/>
      <c r="DC116" s="290"/>
      <c r="DD116" s="142"/>
      <c r="DE116" s="142"/>
      <c r="DF116" s="142"/>
      <c r="DG116" s="142"/>
      <c r="DH116" s="142"/>
      <c r="DI116" s="142"/>
      <c r="DJ116" s="142"/>
      <c r="DK116" s="142"/>
      <c r="DL116" s="142"/>
      <c r="DM116" s="142"/>
      <c r="DN116" s="142"/>
      <c r="DO116" s="142"/>
      <c r="DP116" s="142"/>
      <c r="DQ116" s="142"/>
      <c r="DR116" s="142"/>
      <c r="DS116" s="142"/>
      <c r="DT116" s="142"/>
      <c r="DU116" s="142"/>
      <c r="DV116" s="142"/>
    </row>
    <row r="117" spans="1:126" ht="31.5" customHeight="1">
      <c r="A117" s="563" t="s">
        <v>236</v>
      </c>
      <c r="B117" s="564"/>
      <c r="C117" s="564"/>
      <c r="D117" s="564"/>
      <c r="E117" s="564"/>
      <c r="F117" s="564"/>
      <c r="G117" s="564"/>
      <c r="H117" s="349"/>
      <c r="J117" s="349"/>
      <c r="CA117" s="290"/>
      <c r="CB117" s="290"/>
      <c r="CC117" s="290"/>
      <c r="CD117" s="290"/>
      <c r="CE117" s="290"/>
      <c r="CF117" s="290"/>
      <c r="CG117" s="290"/>
      <c r="CH117" s="290"/>
      <c r="CI117" s="290"/>
      <c r="CJ117" s="290"/>
      <c r="CK117" s="290"/>
      <c r="CL117" s="355"/>
      <c r="CM117" s="355"/>
      <c r="CN117" s="355"/>
      <c r="CO117" s="355"/>
      <c r="CP117" s="355"/>
      <c r="CQ117" s="355"/>
      <c r="CR117" s="355"/>
      <c r="CS117" s="355"/>
      <c r="CT117" s="355"/>
      <c r="CU117" s="355"/>
      <c r="CV117" s="355"/>
      <c r="CW117" s="355"/>
      <c r="CX117" s="355"/>
      <c r="CY117" s="355"/>
      <c r="CZ117" s="355"/>
      <c r="DA117" s="355"/>
      <c r="DB117" s="290"/>
      <c r="DC117" s="290"/>
      <c r="DD117" s="142"/>
      <c r="DE117" s="142"/>
      <c r="DF117" s="142"/>
      <c r="DG117" s="142"/>
      <c r="DH117" s="142"/>
      <c r="DI117" s="142"/>
      <c r="DJ117" s="142"/>
      <c r="DK117" s="142"/>
      <c r="DL117" s="142"/>
      <c r="DM117" s="142"/>
      <c r="DN117" s="142"/>
      <c r="DO117" s="142"/>
      <c r="DP117" s="142"/>
      <c r="DQ117" s="142"/>
      <c r="DR117" s="142"/>
      <c r="DS117" s="142"/>
      <c r="DT117" s="142"/>
      <c r="DU117" s="142"/>
      <c r="DV117" s="142"/>
    </row>
    <row r="118" spans="1:126" ht="12.75" customHeight="1">
      <c r="A118" s="1854" t="s">
        <v>237</v>
      </c>
      <c r="B118" s="1855"/>
      <c r="C118" s="1858" t="s">
        <v>5</v>
      </c>
      <c r="H118" s="558"/>
      <c r="CA118" s="290"/>
      <c r="CB118" s="290"/>
      <c r="CC118" s="290"/>
      <c r="CD118" s="290"/>
      <c r="CE118" s="290"/>
      <c r="CF118" s="290"/>
      <c r="CG118" s="290"/>
      <c r="CH118" s="290"/>
      <c r="CI118" s="290"/>
      <c r="CJ118" s="290"/>
      <c r="CK118" s="290"/>
      <c r="CL118" s="355"/>
      <c r="CM118" s="355"/>
      <c r="CN118" s="355"/>
      <c r="CO118" s="355"/>
      <c r="CP118" s="355"/>
      <c r="CQ118" s="355"/>
      <c r="CR118" s="355"/>
      <c r="CS118" s="355"/>
      <c r="CT118" s="355"/>
      <c r="CU118" s="355"/>
      <c r="CV118" s="355"/>
      <c r="CW118" s="355"/>
      <c r="CX118" s="355"/>
      <c r="CY118" s="355"/>
      <c r="CZ118" s="355"/>
      <c r="DA118" s="355"/>
      <c r="DB118" s="290"/>
      <c r="DC118" s="290"/>
      <c r="DD118" s="142"/>
      <c r="DE118" s="142"/>
      <c r="DF118" s="142"/>
      <c r="DG118" s="142"/>
      <c r="DH118" s="142"/>
      <c r="DI118" s="142"/>
      <c r="DJ118" s="142"/>
      <c r="DK118" s="142"/>
      <c r="DL118" s="142"/>
      <c r="DM118" s="142"/>
      <c r="DN118" s="142"/>
      <c r="DO118" s="142"/>
      <c r="DP118" s="142"/>
      <c r="DQ118" s="142"/>
      <c r="DR118" s="142"/>
      <c r="DS118" s="142"/>
      <c r="DT118" s="142"/>
      <c r="DU118" s="142"/>
      <c r="DV118" s="142"/>
    </row>
    <row r="119" spans="1:126" ht="12.75" customHeight="1">
      <c r="A119" s="1856"/>
      <c r="B119" s="1857"/>
      <c r="C119" s="1859"/>
      <c r="H119" s="535"/>
      <c r="CA119" s="290"/>
      <c r="CB119" s="290"/>
      <c r="CC119" s="290"/>
      <c r="CD119" s="290"/>
      <c r="CE119" s="290"/>
      <c r="CF119" s="290"/>
      <c r="CG119" s="290"/>
      <c r="CH119" s="290"/>
      <c r="CI119" s="290"/>
      <c r="CJ119" s="290"/>
      <c r="CK119" s="290"/>
      <c r="CL119" s="355"/>
      <c r="CM119" s="355"/>
      <c r="CN119" s="355"/>
      <c r="CO119" s="355"/>
      <c r="CP119" s="355"/>
      <c r="CQ119" s="355"/>
      <c r="CR119" s="355"/>
      <c r="CS119" s="355"/>
      <c r="CT119" s="355"/>
      <c r="CU119" s="355"/>
      <c r="CV119" s="355"/>
      <c r="CW119" s="355"/>
      <c r="CX119" s="355"/>
      <c r="CY119" s="355"/>
      <c r="CZ119" s="355"/>
      <c r="DA119" s="355"/>
      <c r="DB119" s="290"/>
      <c r="DC119" s="290"/>
      <c r="DD119" s="142"/>
      <c r="DE119" s="142"/>
      <c r="DF119" s="142"/>
      <c r="DG119" s="142"/>
      <c r="DH119" s="142"/>
      <c r="DI119" s="142"/>
      <c r="DJ119" s="142"/>
      <c r="DK119" s="142"/>
      <c r="DL119" s="142"/>
      <c r="DM119" s="142"/>
      <c r="DN119" s="142"/>
      <c r="DO119" s="142"/>
      <c r="DP119" s="142"/>
      <c r="DQ119" s="142"/>
      <c r="DR119" s="142"/>
      <c r="DS119" s="142"/>
      <c r="DT119" s="142"/>
      <c r="DU119" s="142"/>
      <c r="DV119" s="142"/>
    </row>
    <row r="120" spans="1:126" ht="24" customHeight="1">
      <c r="A120" s="1839" t="s">
        <v>238</v>
      </c>
      <c r="B120" s="1840"/>
      <c r="C120" s="565"/>
      <c r="CA120" s="290"/>
      <c r="CB120" s="290"/>
      <c r="CC120" s="290"/>
      <c r="CD120" s="290"/>
      <c r="CE120" s="290"/>
      <c r="CF120" s="290"/>
      <c r="CG120" s="290"/>
      <c r="CH120" s="290"/>
      <c r="CI120" s="290"/>
      <c r="CJ120" s="290"/>
      <c r="CK120" s="290"/>
      <c r="CL120" s="355"/>
      <c r="CM120" s="355"/>
      <c r="CN120" s="355"/>
      <c r="CO120" s="355"/>
      <c r="CP120" s="355"/>
      <c r="CQ120" s="355"/>
      <c r="CR120" s="355"/>
      <c r="CS120" s="355"/>
      <c r="CT120" s="355"/>
      <c r="CU120" s="355"/>
      <c r="CV120" s="355"/>
      <c r="CW120" s="355"/>
      <c r="CX120" s="355"/>
      <c r="CY120" s="355"/>
      <c r="CZ120" s="355"/>
      <c r="DA120" s="355"/>
      <c r="DB120" s="290"/>
      <c r="DC120" s="290"/>
      <c r="DD120" s="142"/>
      <c r="DE120" s="142"/>
      <c r="DF120" s="142"/>
      <c r="DG120" s="142"/>
      <c r="DH120" s="142"/>
      <c r="DI120" s="142"/>
      <c r="DJ120" s="142"/>
      <c r="DK120" s="142"/>
      <c r="DL120" s="142"/>
      <c r="DM120" s="142"/>
      <c r="DN120" s="142"/>
      <c r="DO120" s="142"/>
      <c r="DP120" s="142"/>
      <c r="DQ120" s="142"/>
      <c r="DR120" s="142"/>
      <c r="DS120" s="142"/>
      <c r="DT120" s="142"/>
      <c r="DU120" s="142"/>
      <c r="DV120" s="142"/>
    </row>
    <row r="121" spans="1:126" ht="24" customHeight="1">
      <c r="A121" s="1841" t="s">
        <v>239</v>
      </c>
      <c r="B121" s="1842"/>
      <c r="C121" s="565"/>
      <c r="CA121" s="290"/>
      <c r="CB121" s="290"/>
      <c r="CC121" s="290"/>
      <c r="CD121" s="290"/>
      <c r="CE121" s="290"/>
      <c r="CF121" s="290"/>
      <c r="CG121" s="290"/>
      <c r="CH121" s="290"/>
      <c r="CI121" s="290"/>
      <c r="CJ121" s="290"/>
      <c r="CK121" s="290"/>
      <c r="CL121" s="355"/>
      <c r="CM121" s="355"/>
      <c r="CN121" s="355"/>
      <c r="CO121" s="355"/>
      <c r="CP121" s="355"/>
      <c r="CQ121" s="355"/>
      <c r="CR121" s="355"/>
      <c r="CS121" s="355"/>
      <c r="CT121" s="355"/>
      <c r="CU121" s="355"/>
      <c r="CV121" s="355"/>
      <c r="CW121" s="355"/>
      <c r="CX121" s="355"/>
      <c r="CY121" s="355"/>
      <c r="CZ121" s="355"/>
      <c r="DA121" s="355"/>
      <c r="DB121" s="290"/>
      <c r="DC121" s="290"/>
      <c r="DD121" s="142"/>
      <c r="DE121" s="142"/>
      <c r="DF121" s="142"/>
      <c r="DG121" s="142"/>
      <c r="DH121" s="142"/>
      <c r="DI121" s="142"/>
      <c r="DJ121" s="142"/>
      <c r="DK121" s="142"/>
      <c r="DL121" s="142"/>
      <c r="DM121" s="142"/>
      <c r="DN121" s="142"/>
      <c r="DO121" s="142"/>
      <c r="DP121" s="142"/>
      <c r="DQ121" s="142"/>
      <c r="DR121" s="142"/>
      <c r="DS121" s="142"/>
      <c r="DT121" s="142"/>
      <c r="DU121" s="142"/>
      <c r="DV121" s="142"/>
    </row>
    <row r="122" spans="1:126" ht="24" customHeight="1">
      <c r="A122" s="1843" t="s">
        <v>240</v>
      </c>
      <c r="B122" s="1844"/>
      <c r="C122" s="565"/>
      <c r="CA122" s="290"/>
      <c r="CB122" s="290"/>
      <c r="CC122" s="290"/>
      <c r="CD122" s="290"/>
      <c r="CE122" s="290"/>
      <c r="CF122" s="290"/>
      <c r="CG122" s="290"/>
      <c r="CH122" s="290"/>
      <c r="CI122" s="290"/>
      <c r="CJ122" s="290"/>
      <c r="CK122" s="290"/>
      <c r="CL122" s="355"/>
      <c r="CM122" s="355"/>
      <c r="CN122" s="355"/>
      <c r="CO122" s="355"/>
      <c r="CP122" s="355"/>
      <c r="CQ122" s="355"/>
      <c r="CR122" s="355"/>
      <c r="CS122" s="355"/>
      <c r="CT122" s="355"/>
      <c r="CU122" s="355"/>
      <c r="CV122" s="355"/>
      <c r="CW122" s="355"/>
      <c r="CX122" s="355"/>
      <c r="CY122" s="355"/>
      <c r="CZ122" s="355"/>
      <c r="DA122" s="355"/>
      <c r="DB122" s="290"/>
      <c r="DC122" s="290"/>
      <c r="DD122" s="142"/>
      <c r="DE122" s="142"/>
      <c r="DF122" s="142"/>
      <c r="DG122" s="142"/>
      <c r="DH122" s="142"/>
      <c r="DI122" s="142"/>
      <c r="DJ122" s="142"/>
      <c r="DK122" s="142"/>
      <c r="DL122" s="142"/>
      <c r="DM122" s="142"/>
      <c r="DN122" s="142"/>
      <c r="DO122" s="142"/>
      <c r="DP122" s="142"/>
      <c r="DQ122" s="142"/>
      <c r="DR122" s="142"/>
      <c r="DS122" s="142"/>
      <c r="DT122" s="142"/>
      <c r="DU122" s="142"/>
      <c r="DV122" s="142"/>
    </row>
    <row r="123" spans="1:126" ht="24" customHeight="1">
      <c r="A123" s="1843" t="s">
        <v>241</v>
      </c>
      <c r="B123" s="1844"/>
      <c r="C123" s="565"/>
      <c r="CA123" s="290"/>
      <c r="CB123" s="290"/>
      <c r="CC123" s="290"/>
      <c r="CD123" s="290"/>
      <c r="CE123" s="290"/>
      <c r="CF123" s="290"/>
      <c r="CG123" s="290"/>
      <c r="CH123" s="290"/>
      <c r="CI123" s="290"/>
      <c r="CJ123" s="290"/>
      <c r="CK123" s="290"/>
      <c r="CL123" s="355"/>
      <c r="CM123" s="355"/>
      <c r="CN123" s="355"/>
      <c r="CO123" s="355"/>
      <c r="CP123" s="355"/>
      <c r="CQ123" s="355"/>
      <c r="CR123" s="355"/>
      <c r="CS123" s="355"/>
      <c r="CT123" s="355"/>
      <c r="CU123" s="355"/>
      <c r="CV123" s="355"/>
      <c r="CW123" s="355"/>
      <c r="CX123" s="355"/>
      <c r="CY123" s="355"/>
      <c r="CZ123" s="355"/>
      <c r="DA123" s="355"/>
      <c r="DB123" s="290"/>
      <c r="DC123" s="290"/>
      <c r="DD123" s="142"/>
      <c r="DE123" s="142"/>
      <c r="DF123" s="142"/>
      <c r="DG123" s="142"/>
      <c r="DH123" s="142"/>
      <c r="DI123" s="142"/>
      <c r="DJ123" s="142"/>
      <c r="DK123" s="142"/>
      <c r="DL123" s="142"/>
      <c r="DM123" s="142"/>
      <c r="DN123" s="142"/>
      <c r="DO123" s="142"/>
      <c r="DP123" s="142"/>
      <c r="DQ123" s="142"/>
      <c r="DR123" s="142"/>
      <c r="DS123" s="142"/>
      <c r="DT123" s="142"/>
      <c r="DU123" s="142"/>
      <c r="DV123" s="142"/>
    </row>
    <row r="124" spans="1:126" ht="24" customHeight="1">
      <c r="A124" s="1843" t="s">
        <v>242</v>
      </c>
      <c r="B124" s="1844"/>
      <c r="C124" s="566"/>
      <c r="CA124" s="290"/>
      <c r="CB124" s="290"/>
      <c r="CC124" s="290"/>
      <c r="CD124" s="290"/>
      <c r="CE124" s="290"/>
      <c r="CF124" s="290"/>
      <c r="CG124" s="290"/>
      <c r="CH124" s="290"/>
      <c r="CI124" s="290"/>
      <c r="CJ124" s="290"/>
      <c r="CK124" s="290"/>
      <c r="CL124" s="355"/>
      <c r="CM124" s="355"/>
      <c r="CN124" s="355"/>
      <c r="CO124" s="355"/>
      <c r="CP124" s="355"/>
      <c r="CQ124" s="355"/>
      <c r="CR124" s="355"/>
      <c r="CS124" s="355"/>
      <c r="CT124" s="355"/>
      <c r="CU124" s="355"/>
      <c r="CV124" s="355"/>
      <c r="CW124" s="355"/>
      <c r="CX124" s="355"/>
      <c r="CY124" s="355"/>
      <c r="CZ124" s="355"/>
      <c r="DA124" s="355"/>
      <c r="DB124" s="290"/>
      <c r="DC124" s="290"/>
      <c r="DD124" s="142"/>
      <c r="DE124" s="142"/>
      <c r="DF124" s="142"/>
      <c r="DG124" s="142"/>
      <c r="DH124" s="142"/>
      <c r="DI124" s="142"/>
      <c r="DJ124" s="142"/>
      <c r="DK124" s="142"/>
      <c r="DL124" s="142"/>
      <c r="DM124" s="142"/>
      <c r="DN124" s="142"/>
      <c r="DO124" s="142"/>
      <c r="DP124" s="142"/>
      <c r="DQ124" s="142"/>
      <c r="DR124" s="142"/>
      <c r="DS124" s="142"/>
      <c r="DT124" s="142"/>
      <c r="DU124" s="142"/>
      <c r="DV124" s="142"/>
    </row>
    <row r="125" spans="1:126" ht="24" customHeight="1">
      <c r="A125" s="1845" t="s">
        <v>5</v>
      </c>
      <c r="B125" s="1846"/>
      <c r="C125" s="567">
        <f>SUM(C120:C124)</f>
        <v>0</v>
      </c>
      <c r="CA125" s="290"/>
      <c r="CB125" s="290"/>
      <c r="CC125" s="290"/>
      <c r="CD125" s="290"/>
      <c r="CE125" s="290"/>
      <c r="CF125" s="290"/>
      <c r="CG125" s="290"/>
      <c r="CH125" s="290"/>
      <c r="CI125" s="290"/>
      <c r="CJ125" s="290"/>
      <c r="CK125" s="290"/>
      <c r="CL125" s="355"/>
      <c r="CM125" s="355"/>
      <c r="CN125" s="355"/>
      <c r="CO125" s="355"/>
      <c r="CP125" s="355"/>
      <c r="CQ125" s="355"/>
      <c r="CR125" s="355"/>
      <c r="CS125" s="355"/>
      <c r="CT125" s="355"/>
      <c r="CU125" s="355"/>
      <c r="CV125" s="355"/>
      <c r="CW125" s="355"/>
      <c r="CX125" s="355"/>
      <c r="CY125" s="355"/>
      <c r="CZ125" s="355"/>
      <c r="DA125" s="355"/>
      <c r="DB125" s="290"/>
      <c r="DC125" s="290"/>
      <c r="DD125" s="142"/>
      <c r="DE125" s="142"/>
      <c r="DF125" s="142"/>
      <c r="DG125" s="142"/>
      <c r="DH125" s="142"/>
      <c r="DI125" s="142"/>
      <c r="DJ125" s="142"/>
      <c r="DK125" s="142"/>
      <c r="DL125" s="142"/>
      <c r="DM125" s="142"/>
      <c r="DN125" s="142"/>
      <c r="DO125" s="142"/>
      <c r="DP125" s="142"/>
      <c r="DQ125" s="142"/>
      <c r="DR125" s="142"/>
      <c r="DS125" s="142"/>
      <c r="DT125" s="142"/>
      <c r="DU125" s="142"/>
      <c r="DV125" s="142"/>
    </row>
    <row r="126" spans="1:126" ht="33" customHeight="1">
      <c r="A126" s="568" t="s">
        <v>243</v>
      </c>
      <c r="B126" s="569"/>
      <c r="C126" s="569"/>
      <c r="D126" s="569"/>
      <c r="E126" s="569"/>
      <c r="F126" s="569"/>
      <c r="CA126" s="290"/>
      <c r="CB126" s="290"/>
      <c r="CC126" s="290"/>
      <c r="CD126" s="290"/>
      <c r="CE126" s="290"/>
      <c r="CF126" s="290"/>
      <c r="CG126" s="290"/>
      <c r="CH126" s="290"/>
      <c r="CI126" s="290"/>
      <c r="CJ126" s="290"/>
      <c r="CK126" s="290"/>
      <c r="CL126" s="355"/>
      <c r="CM126" s="355"/>
      <c r="CN126" s="355"/>
      <c r="CO126" s="355"/>
      <c r="CP126" s="355"/>
      <c r="CQ126" s="355"/>
      <c r="CR126" s="355"/>
      <c r="CS126" s="355"/>
      <c r="CT126" s="355"/>
      <c r="CU126" s="355"/>
      <c r="CV126" s="355"/>
      <c r="CW126" s="355"/>
      <c r="CX126" s="355"/>
      <c r="CY126" s="355"/>
      <c r="CZ126" s="355"/>
      <c r="DA126" s="355"/>
      <c r="DB126" s="290"/>
      <c r="DC126" s="290"/>
      <c r="DD126" s="142"/>
      <c r="DE126" s="142"/>
      <c r="DF126" s="142"/>
      <c r="DG126" s="142"/>
      <c r="DH126" s="142"/>
      <c r="DI126" s="142"/>
      <c r="DJ126" s="142"/>
      <c r="DK126" s="142"/>
      <c r="DL126" s="142"/>
      <c r="DM126" s="142"/>
      <c r="DN126" s="142"/>
      <c r="DO126" s="142"/>
      <c r="DP126" s="142"/>
      <c r="DQ126" s="142"/>
      <c r="DR126" s="142"/>
      <c r="DS126" s="142"/>
      <c r="DT126" s="142"/>
      <c r="DU126" s="142"/>
      <c r="DV126" s="142"/>
    </row>
    <row r="127" spans="1:126" ht="21" customHeight="1">
      <c r="A127" s="1758" t="s">
        <v>244</v>
      </c>
      <c r="B127" s="1785"/>
      <c r="C127" s="1758" t="s">
        <v>45</v>
      </c>
      <c r="D127" s="1830"/>
      <c r="E127" s="1785"/>
      <c r="F127" s="1832" t="s">
        <v>245</v>
      </c>
      <c r="G127" s="1833"/>
      <c r="H127" s="1833"/>
      <c r="I127" s="1833"/>
      <c r="J127" s="1833"/>
      <c r="K127" s="1834"/>
      <c r="L127" s="1837" t="s">
        <v>246</v>
      </c>
      <c r="AW127" s="350"/>
      <c r="AX127" s="350"/>
      <c r="AY127" s="350"/>
      <c r="AZ127" s="350"/>
      <c r="BA127" s="350"/>
      <c r="BR127" s="346"/>
      <c r="BS127" s="346"/>
      <c r="BT127" s="346"/>
      <c r="BU127" s="346"/>
      <c r="BV127" s="346"/>
      <c r="CA127" s="290"/>
      <c r="CB127" s="290"/>
      <c r="CC127" s="290"/>
      <c r="CD127" s="290"/>
      <c r="CE127" s="290"/>
      <c r="CF127" s="290"/>
      <c r="CG127" s="290"/>
      <c r="CH127" s="290"/>
      <c r="CI127" s="290"/>
      <c r="CJ127" s="290"/>
      <c r="CK127" s="290"/>
      <c r="CL127" s="355"/>
      <c r="CM127" s="355"/>
      <c r="CN127" s="355"/>
      <c r="CO127" s="355"/>
      <c r="CP127" s="355"/>
      <c r="CQ127" s="355"/>
      <c r="CR127" s="355"/>
      <c r="CS127" s="355"/>
      <c r="CT127" s="355"/>
      <c r="CU127" s="355"/>
      <c r="CV127" s="355"/>
      <c r="CW127" s="355"/>
      <c r="CX127" s="355"/>
      <c r="CY127" s="355"/>
      <c r="CZ127" s="355"/>
      <c r="DA127" s="355"/>
      <c r="DB127" s="290"/>
      <c r="DC127" s="290"/>
      <c r="DD127" s="142"/>
      <c r="DE127" s="142"/>
      <c r="DF127" s="142"/>
      <c r="DG127" s="142"/>
      <c r="DH127" s="142"/>
      <c r="DI127" s="142"/>
      <c r="DJ127" s="142"/>
      <c r="DK127" s="142"/>
      <c r="DL127" s="142"/>
      <c r="DM127" s="142"/>
      <c r="DN127" s="142"/>
      <c r="DO127" s="142"/>
      <c r="DP127" s="142"/>
      <c r="DQ127" s="142"/>
      <c r="DR127" s="142"/>
      <c r="DS127" s="142"/>
      <c r="DT127" s="142"/>
      <c r="DU127" s="142"/>
      <c r="DV127" s="142"/>
    </row>
    <row r="128" spans="1:126" ht="27" customHeight="1">
      <c r="A128" s="1786"/>
      <c r="B128" s="1787"/>
      <c r="C128" s="1788"/>
      <c r="D128" s="1831"/>
      <c r="E128" s="1789"/>
      <c r="F128" s="1756" t="s">
        <v>247</v>
      </c>
      <c r="G128" s="1776"/>
      <c r="H128" s="1838" t="s">
        <v>248</v>
      </c>
      <c r="I128" s="1776"/>
      <c r="J128" s="1838" t="s">
        <v>249</v>
      </c>
      <c r="K128" s="1757"/>
      <c r="L128" s="1748"/>
      <c r="AW128" s="350"/>
      <c r="AX128" s="350"/>
      <c r="AY128" s="350"/>
      <c r="AZ128" s="350"/>
      <c r="BA128" s="350"/>
      <c r="BR128" s="346"/>
      <c r="BS128" s="346"/>
      <c r="BT128" s="346"/>
      <c r="BU128" s="346"/>
      <c r="BV128" s="346"/>
      <c r="CA128" s="290"/>
      <c r="CB128" s="290"/>
      <c r="CC128" s="290"/>
      <c r="CD128" s="290"/>
      <c r="CE128" s="290"/>
      <c r="CF128" s="290"/>
      <c r="CG128" s="290"/>
      <c r="CH128" s="290"/>
      <c r="CI128" s="290"/>
      <c r="CJ128" s="290"/>
      <c r="CK128" s="290"/>
      <c r="CL128" s="355"/>
      <c r="CM128" s="355"/>
      <c r="CN128" s="355"/>
      <c r="CO128" s="355"/>
      <c r="CP128" s="355"/>
      <c r="CQ128" s="355"/>
      <c r="CR128" s="355"/>
      <c r="CS128" s="355"/>
      <c r="CT128" s="355"/>
      <c r="CU128" s="355"/>
      <c r="CV128" s="355"/>
      <c r="CW128" s="355"/>
      <c r="CX128" s="355"/>
      <c r="CY128" s="355"/>
      <c r="CZ128" s="355"/>
      <c r="DA128" s="355"/>
      <c r="DB128" s="290"/>
      <c r="DC128" s="290"/>
      <c r="DD128" s="142"/>
      <c r="DE128" s="142"/>
      <c r="DF128" s="142"/>
      <c r="DG128" s="142"/>
      <c r="DH128" s="142"/>
      <c r="DI128" s="142"/>
      <c r="DJ128" s="142"/>
      <c r="DK128" s="142"/>
      <c r="DL128" s="142"/>
      <c r="DM128" s="142"/>
      <c r="DN128" s="142"/>
      <c r="DO128" s="142"/>
      <c r="DP128" s="142"/>
      <c r="DQ128" s="142"/>
      <c r="DR128" s="142"/>
      <c r="DS128" s="142"/>
      <c r="DT128" s="142"/>
      <c r="DU128" s="142"/>
      <c r="DV128" s="142"/>
    </row>
    <row r="129" spans="1:126" ht="28.5" customHeight="1">
      <c r="A129" s="1788"/>
      <c r="B129" s="1789"/>
      <c r="C129" s="359" t="s">
        <v>45</v>
      </c>
      <c r="D129" s="480" t="s">
        <v>42</v>
      </c>
      <c r="E129" s="570" t="s">
        <v>179</v>
      </c>
      <c r="F129" s="484" t="s">
        <v>42</v>
      </c>
      <c r="G129" s="484" t="s">
        <v>179</v>
      </c>
      <c r="H129" s="484" t="s">
        <v>42</v>
      </c>
      <c r="I129" s="484" t="s">
        <v>179</v>
      </c>
      <c r="J129" s="571" t="s">
        <v>42</v>
      </c>
      <c r="K129" s="360" t="s">
        <v>179</v>
      </c>
      <c r="L129" s="1749"/>
      <c r="AW129" s="350"/>
      <c r="AX129" s="350"/>
      <c r="AY129" s="350"/>
      <c r="AZ129" s="350"/>
      <c r="BA129" s="350"/>
      <c r="BR129" s="346"/>
      <c r="BS129" s="346"/>
      <c r="BT129" s="346"/>
      <c r="BU129" s="346"/>
      <c r="BV129" s="346"/>
      <c r="CA129" s="290"/>
      <c r="CB129" s="290"/>
      <c r="CC129" s="290"/>
      <c r="CD129" s="290"/>
      <c r="CE129" s="290"/>
      <c r="CF129" s="290"/>
      <c r="CG129" s="290"/>
      <c r="CH129" s="290"/>
      <c r="CI129" s="290"/>
      <c r="CJ129" s="290"/>
      <c r="CK129" s="290"/>
      <c r="CL129" s="355"/>
      <c r="CM129" s="355"/>
      <c r="CN129" s="355"/>
      <c r="CO129" s="355"/>
      <c r="CP129" s="355"/>
      <c r="CQ129" s="355"/>
      <c r="CR129" s="355"/>
      <c r="CS129" s="355"/>
      <c r="CT129" s="355"/>
      <c r="CU129" s="355"/>
      <c r="CV129" s="355"/>
      <c r="CW129" s="355"/>
      <c r="CX129" s="355"/>
      <c r="CY129" s="355"/>
      <c r="CZ129" s="355"/>
      <c r="DA129" s="355"/>
      <c r="DB129" s="290"/>
      <c r="DC129" s="290"/>
      <c r="DD129" s="142"/>
      <c r="DE129" s="142"/>
      <c r="DF129" s="142"/>
      <c r="DG129" s="142"/>
      <c r="DH129" s="142"/>
      <c r="DI129" s="142"/>
      <c r="DJ129" s="142"/>
      <c r="DK129" s="142"/>
      <c r="DL129" s="142"/>
      <c r="DM129" s="142"/>
      <c r="DN129" s="142"/>
      <c r="DO129" s="142"/>
      <c r="DP129" s="142"/>
      <c r="DQ129" s="142"/>
      <c r="DR129" s="142"/>
      <c r="DS129" s="142"/>
      <c r="DT129" s="142"/>
      <c r="DU129" s="142"/>
      <c r="DV129" s="142"/>
    </row>
    <row r="130" spans="1:126" ht="26.25" customHeight="1">
      <c r="A130" s="1803" t="s">
        <v>250</v>
      </c>
      <c r="B130" s="1804"/>
      <c r="C130" s="572">
        <f>SUM(D130:E130)</f>
        <v>0</v>
      </c>
      <c r="D130" s="573">
        <f>+F130+H130+J130</f>
        <v>0</v>
      </c>
      <c r="E130" s="574">
        <f>+G130+I130+K130</f>
        <v>0</v>
      </c>
      <c r="F130" s="390"/>
      <c r="G130" s="394"/>
      <c r="H130" s="394"/>
      <c r="I130" s="398"/>
      <c r="J130" s="398"/>
      <c r="K130" s="391"/>
      <c r="L130" s="391"/>
      <c r="M130" s="541" t="str">
        <f>CI130&amp;CJ130&amp;CK130</f>
        <v/>
      </c>
      <c r="AW130" s="350"/>
      <c r="AX130" s="350"/>
      <c r="AY130" s="350"/>
      <c r="AZ130" s="350"/>
      <c r="BA130" s="350"/>
      <c r="BR130" s="346"/>
      <c r="BS130" s="346"/>
      <c r="BT130" s="346"/>
      <c r="BU130" s="346"/>
      <c r="BV130" s="346"/>
      <c r="BX130" s="6"/>
      <c r="BY130" s="6"/>
      <c r="BZ130" s="6"/>
      <c r="CA130" s="290"/>
      <c r="CB130" s="290"/>
      <c r="CC130" s="290"/>
      <c r="CD130" s="290"/>
      <c r="CE130" s="290"/>
      <c r="CF130" s="290"/>
      <c r="CG130" s="290"/>
      <c r="CH130" s="290"/>
      <c r="CI130" s="383" t="str">
        <f>IF(SUM($F130:$G130)&lt;=SUM($AB$11:$AE$11),"","* Niños(as) de 36 a 47 ms clasificados debe ser menor o igual al Total de la población de niños bajo control de en sección A misma edad. ")</f>
        <v/>
      </c>
      <c r="CJ130" s="383" t="str">
        <f>IF(SUM($H130:$I130)&lt;=SUM($AF$11:$AG$11,$F$44:$G$44),"","* Niños(as) de 48 a 71 meses clasificados debe ser menor o igual al Total de la población de niños bajo control de en sección A y A1 de la misma edad. ")</f>
        <v/>
      </c>
      <c r="CK130" s="383" t="str">
        <f>IF(SUM($J130:$K130)&lt;=SUM($H$44:$O$44),"","* Niños(as) de 6 a 9 años clasificados debe ser menor o igual al Total de la población de niños bajo control de en sección A1 misma edad ")</f>
        <v/>
      </c>
      <c r="CL130" s="355"/>
      <c r="CM130" s="355"/>
      <c r="CN130" s="355"/>
      <c r="CO130" s="355"/>
      <c r="CP130" s="355"/>
      <c r="CQ130" s="355"/>
      <c r="CR130" s="355"/>
      <c r="CS130" s="355"/>
      <c r="CT130" s="355"/>
      <c r="CU130" s="355"/>
      <c r="CV130" s="355"/>
      <c r="CW130" s="355"/>
      <c r="CX130" s="355"/>
      <c r="CY130" s="355"/>
      <c r="CZ130" s="355"/>
      <c r="DA130" s="355"/>
      <c r="DB130" s="290"/>
      <c r="DC130" s="290"/>
      <c r="DD130" s="385">
        <f>IF(SUM($F130:$G130)&lt;=SUM($AB$11:$AE$11),0,1)</f>
        <v>0</v>
      </c>
      <c r="DE130" s="385">
        <f>IF(SUM($H130:$I130)&lt;=SUM($AF$11:$AG$11,$F$44:$G$44),0,1)</f>
        <v>0</v>
      </c>
      <c r="DF130" s="385">
        <f>IF(SUM($J130:$K130)&lt;=SUM($H$44:$O$44),0,1)</f>
        <v>0</v>
      </c>
      <c r="DG130" s="142"/>
      <c r="DH130" s="142"/>
      <c r="DI130" s="142"/>
      <c r="DJ130" s="142"/>
      <c r="DK130" s="142"/>
      <c r="DL130" s="142"/>
      <c r="DM130" s="142"/>
      <c r="DN130" s="142"/>
      <c r="DO130" s="142"/>
      <c r="DP130" s="142"/>
      <c r="DQ130" s="142"/>
      <c r="DR130" s="142"/>
      <c r="DS130" s="142"/>
      <c r="DT130" s="142"/>
    </row>
    <row r="131" spans="1:126" ht="26.25" customHeight="1">
      <c r="A131" s="1826" t="s">
        <v>251</v>
      </c>
      <c r="B131" s="1827"/>
      <c r="C131" s="575">
        <f t="shared" ref="C131:C133" si="128">SUM(D131:E131)</f>
        <v>0</v>
      </c>
      <c r="D131" s="576">
        <f t="shared" ref="D131:E133" si="129">+F131+H131+J131</f>
        <v>0</v>
      </c>
      <c r="E131" s="577">
        <f t="shared" si="129"/>
        <v>0</v>
      </c>
      <c r="F131" s="457"/>
      <c r="G131" s="460"/>
      <c r="H131" s="460"/>
      <c r="I131" s="463"/>
      <c r="J131" s="463"/>
      <c r="K131" s="540"/>
      <c r="L131" s="540"/>
      <c r="M131" s="541" t="str">
        <f t="shared" ref="M131:M133" si="130">CI131&amp;CJ131&amp;CK131</f>
        <v/>
      </c>
      <c r="AW131" s="350"/>
      <c r="AX131" s="350"/>
      <c r="AY131" s="350"/>
      <c r="AZ131" s="350"/>
      <c r="BA131" s="350"/>
      <c r="BR131" s="346"/>
      <c r="BS131" s="346"/>
      <c r="BT131" s="346"/>
      <c r="BU131" s="346"/>
      <c r="BV131" s="346"/>
      <c r="BX131" s="6"/>
      <c r="BY131" s="6"/>
      <c r="BZ131" s="6"/>
      <c r="CA131" s="290"/>
      <c r="CB131" s="290"/>
      <c r="CC131" s="290"/>
      <c r="CD131" s="290"/>
      <c r="CE131" s="290"/>
      <c r="CF131" s="290"/>
      <c r="CG131" s="290"/>
      <c r="CH131" s="290"/>
      <c r="CI131" s="383" t="str">
        <f t="shared" ref="CI131:CI132" si="131">IF(SUM($F131:$G131)&lt;=SUM($AB$11:$AE$11),"","* Niños(as) de 36 a 47 ms clasificados debe ser menor o igual al Total de la población de niños bajo control de en sección A misma edad. ")</f>
        <v/>
      </c>
      <c r="CJ131" s="383" t="str">
        <f>IF(SUM($H131:$I131)&lt;=SUM($AF$11:$AG$11,$F$44:$G$44),"","* Niños(as) de 48 a 71 meses clasificados debe ser menor o igual al Total de la población de niños bajo control de en sección A y A1 de la misma edad. ")</f>
        <v/>
      </c>
      <c r="CK131" s="383" t="str">
        <f t="shared" ref="CK131:CK133" si="132">IF(SUM($J131:$K131)&lt;=SUM($H$44:$O$44),"","* Niños(as) de 6 a 9 años clasificados debe ser menor o igual al Total de la población de niños bajo control de en sección A1 misma edad ")</f>
        <v/>
      </c>
      <c r="CL131" s="355"/>
      <c r="CM131" s="355"/>
      <c r="CN131" s="355"/>
      <c r="CO131" s="355"/>
      <c r="CP131" s="355"/>
      <c r="CQ131" s="355"/>
      <c r="CR131" s="355"/>
      <c r="CS131" s="355"/>
      <c r="CT131" s="355"/>
      <c r="CU131" s="355"/>
      <c r="CV131" s="355"/>
      <c r="CW131" s="355"/>
      <c r="CX131" s="355"/>
      <c r="CY131" s="355"/>
      <c r="CZ131" s="355"/>
      <c r="DA131" s="355"/>
      <c r="DB131" s="290"/>
      <c r="DC131" s="290"/>
      <c r="DD131" s="385">
        <f t="shared" ref="DD131:DD133" si="133">IF(SUM($F131:$G131)&lt;=SUM($AB$11:$AE$11),0,1)</f>
        <v>0</v>
      </c>
      <c r="DE131" s="385">
        <f>IF(SUM($H131:$I131)&lt;=SUM($AF$11:$AG$11,$F$44:$G$44),0,1)</f>
        <v>0</v>
      </c>
      <c r="DF131" s="385">
        <f t="shared" ref="DF131:DF133" si="134">IF(SUM($J131:$K131)&lt;=SUM($H$44:$O$44),0,1)</f>
        <v>0</v>
      </c>
      <c r="DG131" s="142"/>
      <c r="DH131" s="142"/>
      <c r="DI131" s="142"/>
      <c r="DJ131" s="142"/>
      <c r="DK131" s="142"/>
      <c r="DL131" s="142"/>
      <c r="DM131" s="142"/>
      <c r="DN131" s="142"/>
      <c r="DO131" s="142"/>
      <c r="DP131" s="142"/>
      <c r="DQ131" s="142"/>
      <c r="DR131" s="142"/>
      <c r="DS131" s="142"/>
      <c r="DT131" s="142"/>
    </row>
    <row r="132" spans="1:126" ht="26.25" customHeight="1">
      <c r="A132" s="1828" t="s">
        <v>252</v>
      </c>
      <c r="B132" s="1829"/>
      <c r="C132" s="575">
        <f t="shared" si="128"/>
        <v>0</v>
      </c>
      <c r="D132" s="576">
        <f>+F132+H132+J132</f>
        <v>0</v>
      </c>
      <c r="E132" s="577">
        <f t="shared" si="129"/>
        <v>0</v>
      </c>
      <c r="F132" s="457"/>
      <c r="G132" s="460"/>
      <c r="H132" s="460"/>
      <c r="I132" s="463"/>
      <c r="J132" s="463"/>
      <c r="K132" s="540"/>
      <c r="L132" s="540"/>
      <c r="M132" s="541" t="str">
        <f t="shared" si="130"/>
        <v/>
      </c>
      <c r="AW132" s="350"/>
      <c r="AX132" s="350"/>
      <c r="AY132" s="350"/>
      <c r="AZ132" s="350"/>
      <c r="BA132" s="350"/>
      <c r="BR132" s="346"/>
      <c r="BS132" s="346"/>
      <c r="BT132" s="346"/>
      <c r="BU132" s="346"/>
      <c r="BV132" s="346"/>
      <c r="BX132" s="6"/>
      <c r="BY132" s="6"/>
      <c r="BZ132" s="6"/>
      <c r="CA132" s="290"/>
      <c r="CB132" s="290"/>
      <c r="CC132" s="290"/>
      <c r="CD132" s="290"/>
      <c r="CE132" s="290"/>
      <c r="CF132" s="290"/>
      <c r="CG132" s="290"/>
      <c r="CH132" s="290"/>
      <c r="CI132" s="383" t="str">
        <f t="shared" si="131"/>
        <v/>
      </c>
      <c r="CJ132" s="383" t="str">
        <f>IF(SUM($H132:$I132)&lt;=SUM($AF$11:$AG$11,$F$44:$G$44),"","* Niños(as) de 48 a 71 meses clasificados debe ser menor o igual al Total de la población de niños bajo control de en sección A y A1 de la misma edad. ")</f>
        <v/>
      </c>
      <c r="CK132" s="383" t="str">
        <f t="shared" si="132"/>
        <v/>
      </c>
      <c r="CL132" s="355"/>
      <c r="CM132" s="355"/>
      <c r="CN132" s="355"/>
      <c r="CO132" s="355"/>
      <c r="CP132" s="355"/>
      <c r="CQ132" s="355"/>
      <c r="CR132" s="355"/>
      <c r="CS132" s="355"/>
      <c r="CT132" s="355"/>
      <c r="CU132" s="355"/>
      <c r="CV132" s="355"/>
      <c r="CW132" s="355"/>
      <c r="CX132" s="355"/>
      <c r="CY132" s="355"/>
      <c r="CZ132" s="355"/>
      <c r="DA132" s="355"/>
      <c r="DB132" s="290"/>
      <c r="DC132" s="290"/>
      <c r="DD132" s="385">
        <f>IF(SUM($F132:$G132)&lt;=SUM($AB$11:$AE$11),0,1)</f>
        <v>0</v>
      </c>
      <c r="DE132" s="385">
        <f>IF(SUM($H132:$I132)&lt;=SUM($AF$11:$AG$11,$F$44:$G$44),0,1)</f>
        <v>0</v>
      </c>
      <c r="DF132" s="385">
        <f t="shared" si="134"/>
        <v>0</v>
      </c>
      <c r="DG132" s="142"/>
      <c r="DH132" s="142"/>
      <c r="DI132" s="142"/>
      <c r="DJ132" s="142"/>
      <c r="DK132" s="142"/>
      <c r="DL132" s="142"/>
      <c r="DM132" s="142"/>
      <c r="DN132" s="142"/>
      <c r="DO132" s="142"/>
      <c r="DP132" s="142"/>
      <c r="DQ132" s="142"/>
      <c r="DR132" s="142"/>
      <c r="DS132" s="142"/>
      <c r="DT132" s="142"/>
    </row>
    <row r="133" spans="1:126" ht="26.25" customHeight="1">
      <c r="A133" s="1805" t="s">
        <v>253</v>
      </c>
      <c r="B133" s="1806"/>
      <c r="C133" s="578">
        <f t="shared" si="128"/>
        <v>0</v>
      </c>
      <c r="D133" s="579">
        <f t="shared" si="129"/>
        <v>0</v>
      </c>
      <c r="E133" s="580">
        <f t="shared" si="129"/>
        <v>0</v>
      </c>
      <c r="F133" s="401"/>
      <c r="G133" s="405"/>
      <c r="H133" s="405"/>
      <c r="I133" s="409"/>
      <c r="J133" s="409"/>
      <c r="K133" s="402"/>
      <c r="L133" s="402"/>
      <c r="M133" s="541" t="str">
        <f t="shared" si="130"/>
        <v/>
      </c>
      <c r="AW133" s="350"/>
      <c r="AX133" s="350"/>
      <c r="AY133" s="350"/>
      <c r="AZ133" s="350"/>
      <c r="BA133" s="350"/>
      <c r="BR133" s="346"/>
      <c r="BS133" s="346"/>
      <c r="BT133" s="346"/>
      <c r="BU133" s="346"/>
      <c r="BV133" s="346"/>
      <c r="BX133" s="6"/>
      <c r="BY133" s="6"/>
      <c r="BZ133" s="6"/>
      <c r="CA133" s="290"/>
      <c r="CB133" s="290"/>
      <c r="CC133" s="290"/>
      <c r="CD133" s="290"/>
      <c r="CE133" s="290"/>
      <c r="CF133" s="290"/>
      <c r="CG133" s="290"/>
      <c r="CH133" s="290"/>
      <c r="CI133" s="383" t="str">
        <f>IF(SUM($F133:$G133)&lt;=SUM($AB$11:$AE$11),"","* Niños(as) de 36 a 47 ms clasificados debe ser menor o igual al Total de la población de niños bajo control de en sección A misma edad. ")</f>
        <v/>
      </c>
      <c r="CJ133" s="383" t="str">
        <f>IF(SUM($H133:$I133)&lt;=SUM($AF$11:$AG$11,$F$44:$G$44),"","* Niños(as) de 48 a 71 meses clasificados debe ser menor o igual al Total de la población de niños bajo control de en sección A y A1 de la misma edad. ")</f>
        <v/>
      </c>
      <c r="CK133" s="383" t="str">
        <f t="shared" si="132"/>
        <v/>
      </c>
      <c r="CL133" s="355"/>
      <c r="CM133" s="355"/>
      <c r="CN133" s="355"/>
      <c r="CO133" s="355"/>
      <c r="CP133" s="355"/>
      <c r="CQ133" s="355"/>
      <c r="CR133" s="355"/>
      <c r="CS133" s="355"/>
      <c r="CT133" s="355"/>
      <c r="CU133" s="355"/>
      <c r="CV133" s="355"/>
      <c r="CW133" s="355"/>
      <c r="CX133" s="355"/>
      <c r="CY133" s="355"/>
      <c r="CZ133" s="355"/>
      <c r="DA133" s="355"/>
      <c r="DB133" s="290"/>
      <c r="DC133" s="290"/>
      <c r="DD133" s="385">
        <f t="shared" si="133"/>
        <v>0</v>
      </c>
      <c r="DE133" s="385">
        <f>IF(SUM($H133:$I133)&lt;=SUM($AF$11:$AG$11,$F$44:$G$44),0,1)</f>
        <v>0</v>
      </c>
      <c r="DF133" s="385">
        <f t="shared" si="134"/>
        <v>0</v>
      </c>
      <c r="DG133" s="142"/>
      <c r="DH133" s="142"/>
      <c r="DI133" s="142"/>
      <c r="DJ133" s="142"/>
      <c r="DK133" s="142"/>
      <c r="DL133" s="142"/>
      <c r="DM133" s="142"/>
      <c r="DN133" s="142"/>
      <c r="DO133" s="142"/>
      <c r="DP133" s="142"/>
      <c r="DQ133" s="142"/>
      <c r="DR133" s="142"/>
      <c r="DS133" s="142"/>
      <c r="DT133" s="142"/>
    </row>
    <row r="134" spans="1:126" ht="18.75" customHeight="1">
      <c r="A134" s="1807" t="s">
        <v>5</v>
      </c>
      <c r="B134" s="1808"/>
      <c r="C134" s="581">
        <f>SUM(D134:E134)</f>
        <v>0</v>
      </c>
      <c r="D134" s="582">
        <f>+F134+H134+J134</f>
        <v>0</v>
      </c>
      <c r="E134" s="474">
        <f>+G134+I134+K134</f>
        <v>0</v>
      </c>
      <c r="F134" s="412">
        <f>SUM(F130:F133)</f>
        <v>0</v>
      </c>
      <c r="G134" s="413">
        <f>SUM(G130:G133)</f>
        <v>0</v>
      </c>
      <c r="H134" s="413">
        <f t="shared" ref="H134:J134" si="135">SUM(H130:H133)</f>
        <v>0</v>
      </c>
      <c r="I134" s="418">
        <f t="shared" si="135"/>
        <v>0</v>
      </c>
      <c r="J134" s="418">
        <f t="shared" si="135"/>
        <v>0</v>
      </c>
      <c r="K134" s="474">
        <f>SUM(K130:K133)</f>
        <v>0</v>
      </c>
      <c r="L134" s="474">
        <f>SUM(L130:L133)</f>
        <v>0</v>
      </c>
      <c r="AW134" s="350"/>
      <c r="AX134" s="350"/>
      <c r="AY134" s="350"/>
      <c r="AZ134" s="350"/>
      <c r="BA134" s="350"/>
      <c r="BR134" s="346"/>
      <c r="BS134" s="346"/>
      <c r="BT134" s="346"/>
      <c r="BU134" s="346"/>
      <c r="BV134" s="346"/>
      <c r="BX134" s="6"/>
      <c r="BY134" s="6"/>
      <c r="BZ134" s="6"/>
      <c r="CA134" s="290"/>
      <c r="CB134" s="290"/>
      <c r="CC134" s="290"/>
      <c r="CD134" s="290"/>
      <c r="CE134" s="290"/>
      <c r="CF134" s="290"/>
      <c r="CG134" s="290"/>
      <c r="CH134" s="290"/>
      <c r="CI134" s="355"/>
      <c r="CJ134" s="355"/>
      <c r="CK134" s="355"/>
      <c r="CL134" s="355"/>
      <c r="CM134" s="355"/>
      <c r="CN134" s="355"/>
      <c r="CO134" s="355"/>
      <c r="CP134" s="355"/>
      <c r="CQ134" s="355"/>
      <c r="CR134" s="355"/>
      <c r="CS134" s="355"/>
      <c r="CT134" s="355"/>
      <c r="CU134" s="355"/>
      <c r="CV134" s="355"/>
      <c r="CW134" s="355"/>
      <c r="CX134" s="355"/>
      <c r="CY134" s="355"/>
      <c r="CZ134" s="355"/>
      <c r="DA134" s="355"/>
      <c r="DB134" s="290"/>
      <c r="DC134" s="290"/>
      <c r="DD134" s="142"/>
      <c r="DE134" s="142"/>
      <c r="DF134" s="142"/>
      <c r="DG134" s="142"/>
      <c r="DH134" s="142"/>
      <c r="DI134" s="142"/>
      <c r="DJ134" s="142"/>
      <c r="DK134" s="142"/>
      <c r="DL134" s="142"/>
      <c r="DM134" s="142"/>
      <c r="DN134" s="142"/>
      <c r="DO134" s="142"/>
      <c r="DP134" s="142"/>
      <c r="DQ134" s="142"/>
      <c r="DR134" s="142"/>
      <c r="DS134" s="142"/>
      <c r="DT134" s="142"/>
      <c r="DU134" s="142"/>
      <c r="DV134" s="142"/>
    </row>
    <row r="135" spans="1:126" ht="29.25" customHeight="1">
      <c r="A135" s="518" t="s">
        <v>254</v>
      </c>
      <c r="B135" s="519"/>
      <c r="C135" s="519"/>
      <c r="D135" s="519"/>
      <c r="E135" s="519"/>
      <c r="F135" s="519"/>
      <c r="G135" s="519"/>
      <c r="H135" s="519"/>
      <c r="I135" s="475"/>
      <c r="AW135" s="350"/>
      <c r="BR135" s="346"/>
      <c r="BT135" s="6"/>
      <c r="BU135" s="6"/>
      <c r="BV135" s="6"/>
      <c r="CA135" s="290"/>
      <c r="CB135" s="290"/>
      <c r="CC135" s="290"/>
      <c r="CD135" s="290"/>
      <c r="CE135" s="290"/>
      <c r="CF135" s="290"/>
      <c r="CG135" s="290"/>
      <c r="CH135" s="290"/>
      <c r="CI135" s="290"/>
      <c r="CJ135" s="290"/>
      <c r="CK135" s="290"/>
      <c r="CL135" s="355"/>
      <c r="CM135" s="355"/>
      <c r="CN135" s="355"/>
      <c r="CO135" s="355"/>
      <c r="CP135" s="355"/>
      <c r="CQ135" s="355"/>
      <c r="CR135" s="355"/>
      <c r="CS135" s="355"/>
      <c r="CT135" s="355"/>
      <c r="CU135" s="355"/>
      <c r="CV135" s="355"/>
      <c r="CW135" s="355"/>
      <c r="CX135" s="355"/>
      <c r="CY135" s="355"/>
      <c r="CZ135" s="355"/>
      <c r="DA135" s="355"/>
      <c r="DB135" s="290"/>
      <c r="DC135" s="290"/>
      <c r="DD135" s="142"/>
      <c r="DE135" s="142"/>
      <c r="DF135" s="142"/>
      <c r="DG135" s="142"/>
      <c r="DH135" s="142"/>
      <c r="DI135" s="142"/>
      <c r="DJ135" s="142"/>
      <c r="DK135" s="142"/>
      <c r="DL135" s="142"/>
      <c r="DM135" s="142"/>
      <c r="DN135" s="142"/>
      <c r="DO135" s="142"/>
      <c r="DP135" s="142"/>
      <c r="DQ135" s="142"/>
      <c r="DR135" s="142"/>
      <c r="DS135" s="142"/>
      <c r="DT135" s="142"/>
      <c r="DU135" s="142"/>
      <c r="DV135" s="142"/>
    </row>
    <row r="136" spans="1:126" ht="15" customHeight="1">
      <c r="A136" s="1758" t="s">
        <v>224</v>
      </c>
      <c r="B136" s="1785"/>
      <c r="C136" s="1835" t="s">
        <v>5</v>
      </c>
      <c r="D136" s="1832" t="s">
        <v>245</v>
      </c>
      <c r="E136" s="1833"/>
      <c r="F136" s="1833"/>
      <c r="G136" s="1833"/>
      <c r="H136" s="1833"/>
      <c r="I136" s="1834"/>
      <c r="BS136" s="6"/>
      <c r="BT136" s="6"/>
      <c r="BU136" s="6"/>
      <c r="CA136" s="290"/>
      <c r="CB136" s="290"/>
      <c r="CC136" s="290"/>
      <c r="CD136" s="290"/>
      <c r="CE136" s="290"/>
      <c r="CF136" s="290"/>
      <c r="CG136" s="290"/>
      <c r="CH136" s="290"/>
      <c r="CI136" s="290"/>
      <c r="CJ136" s="290"/>
      <c r="CK136" s="290"/>
      <c r="CL136" s="355"/>
      <c r="CM136" s="355"/>
      <c r="CN136" s="355"/>
      <c r="CO136" s="355"/>
      <c r="CP136" s="355"/>
      <c r="CQ136" s="355"/>
      <c r="CR136" s="355"/>
      <c r="CS136" s="355"/>
      <c r="CT136" s="355"/>
      <c r="CU136" s="355"/>
      <c r="CV136" s="355"/>
      <c r="CW136" s="355"/>
      <c r="CX136" s="355"/>
      <c r="CY136" s="355"/>
      <c r="CZ136" s="355"/>
      <c r="DA136" s="355"/>
      <c r="DB136" s="290"/>
      <c r="DC136" s="290"/>
      <c r="DD136" s="142"/>
      <c r="DE136" s="142"/>
      <c r="DF136" s="142"/>
      <c r="DG136" s="142"/>
      <c r="DH136" s="142"/>
      <c r="DI136" s="142"/>
      <c r="DJ136" s="142"/>
      <c r="DK136" s="142"/>
      <c r="DL136" s="142"/>
      <c r="DM136" s="142"/>
      <c r="DN136" s="142"/>
      <c r="DO136" s="142"/>
      <c r="DP136" s="142"/>
      <c r="DQ136" s="142"/>
      <c r="DR136" s="142"/>
      <c r="DS136" s="142"/>
      <c r="DT136" s="142"/>
      <c r="DU136" s="142"/>
      <c r="DV136" s="142"/>
    </row>
    <row r="137" spans="1:126" ht="25.5" customHeight="1">
      <c r="A137" s="1788"/>
      <c r="B137" s="1789"/>
      <c r="C137" s="1836"/>
      <c r="D137" s="583" t="s">
        <v>255</v>
      </c>
      <c r="E137" s="584" t="s">
        <v>256</v>
      </c>
      <c r="F137" s="584" t="s">
        <v>174</v>
      </c>
      <c r="G137" s="584" t="s">
        <v>247</v>
      </c>
      <c r="H137" s="584" t="s">
        <v>177</v>
      </c>
      <c r="I137" s="585" t="s">
        <v>198</v>
      </c>
      <c r="BS137" s="6"/>
      <c r="BT137" s="6"/>
      <c r="BU137" s="6"/>
      <c r="CA137" s="290"/>
      <c r="CB137" s="290"/>
      <c r="CC137" s="290"/>
      <c r="CD137" s="290"/>
      <c r="CE137" s="290"/>
      <c r="CF137" s="290"/>
      <c r="CG137" s="290"/>
      <c r="CH137" s="290"/>
      <c r="CI137" s="290"/>
      <c r="CJ137" s="290"/>
      <c r="CK137" s="290"/>
      <c r="CL137" s="355"/>
      <c r="CM137" s="355"/>
      <c r="CN137" s="355"/>
      <c r="CO137" s="355"/>
      <c r="CP137" s="355"/>
      <c r="CQ137" s="355"/>
      <c r="CR137" s="355"/>
      <c r="CS137" s="355"/>
      <c r="CT137" s="355"/>
      <c r="CU137" s="355"/>
      <c r="CV137" s="355"/>
      <c r="CW137" s="355"/>
      <c r="CX137" s="355"/>
      <c r="CY137" s="355"/>
      <c r="CZ137" s="355"/>
      <c r="DA137" s="355"/>
      <c r="DB137" s="290"/>
      <c r="DC137" s="290"/>
      <c r="DD137" s="142"/>
      <c r="DE137" s="142"/>
      <c r="DF137" s="142"/>
      <c r="DG137" s="142"/>
      <c r="DH137" s="142"/>
      <c r="DI137" s="142"/>
      <c r="DJ137" s="142"/>
      <c r="DK137" s="142"/>
      <c r="DL137" s="142"/>
      <c r="DM137" s="142"/>
      <c r="DN137" s="142"/>
      <c r="DO137" s="142"/>
      <c r="DP137" s="142"/>
      <c r="DQ137" s="142"/>
      <c r="DR137" s="142"/>
      <c r="DS137" s="142"/>
      <c r="DT137" s="142"/>
      <c r="DU137" s="142"/>
      <c r="DV137" s="142"/>
    </row>
    <row r="138" spans="1:126" ht="21.75" customHeight="1">
      <c r="A138" s="1803" t="s">
        <v>257</v>
      </c>
      <c r="B138" s="1804"/>
      <c r="C138" s="387">
        <f>SUM(D138:I138)</f>
        <v>0</v>
      </c>
      <c r="D138" s="390"/>
      <c r="E138" s="398"/>
      <c r="F138" s="398"/>
      <c r="G138" s="398"/>
      <c r="H138" s="398"/>
      <c r="I138" s="392"/>
      <c r="J138" s="541" t="str">
        <f xml:space="preserve"> CF138 &amp; CG138 &amp; CH138 &amp; CI138 &amp; CJ138 &amp; CK138</f>
        <v/>
      </c>
      <c r="BS138" s="6"/>
      <c r="BT138" s="6"/>
      <c r="BU138" s="6"/>
      <c r="CA138" s="290"/>
      <c r="CB138" s="290"/>
      <c r="CC138" s="290"/>
      <c r="CD138" s="290"/>
      <c r="CE138" s="290"/>
      <c r="CF138" s="383" t="str">
        <f>IF($D138&lt;=SUM($N$35:$U$35),"","* Niños(as) de 4 a 11 ms clasificados debe ser menor o igual al Total niños diagnostidos en NORMAL sección A misma edad. ")</f>
        <v/>
      </c>
      <c r="CG138" s="383" t="str">
        <f>IF($E138&lt;=SUM($V$35:$Y$35),"","* Niños(as) de 12 a 23 ms clasificados debe ser menor o igual al Total niños diagnosticados en NORMAL en sección A misma edad. ")</f>
        <v/>
      </c>
      <c r="CH138" s="383" t="str">
        <f>IF($F138&lt;=SUM($Z$35:$AA$35),"","* Niños(as) de 24 a 35 ms clasificados debe ser menor o igual al Total niños diagnosticados en NORMAL en sección A misma edad. ")</f>
        <v/>
      </c>
      <c r="CI138" s="383" t="str">
        <f>IF($G138&lt;=SUM($AB$35:$AC$35),"","* Niños(as) de 36 a 47 ms clasificados debe ser menor o igual al Total niños diagnosticos en NORMAL en sección A misma edad. ")</f>
        <v/>
      </c>
      <c r="CJ138" s="383" t="str">
        <f>IF($H138&lt;=SUM($AF$35:$AG$35),"","* Niños(as) de 48 a 59 ms clasificados debe ser menor o igual al Total niños diagnosticados en NORMAL en sección A misma edad. ")</f>
        <v/>
      </c>
      <c r="CK138" s="383" t="str">
        <f>IF($I138&lt;=SUM($F$69:$G$69),"","* Niños(as) de 60 a 71 ms clasificados debe ser menor o igual al Total niños diagnosticados en NORMAL en sección A1 misma edad. ")</f>
        <v/>
      </c>
      <c r="CL138" s="355"/>
      <c r="CM138" s="355"/>
      <c r="CN138" s="355"/>
      <c r="CO138" s="355"/>
      <c r="CP138" s="355"/>
      <c r="CQ138" s="355"/>
      <c r="CR138" s="355"/>
      <c r="CS138" s="355"/>
      <c r="CT138" s="355"/>
      <c r="CU138" s="355"/>
      <c r="CV138" s="355"/>
      <c r="CW138" s="355"/>
      <c r="CX138" s="355"/>
      <c r="CY138" s="355"/>
      <c r="CZ138" s="355"/>
      <c r="DA138" s="355"/>
      <c r="DB138" s="290"/>
      <c r="DC138" s="290"/>
      <c r="DD138" s="142"/>
      <c r="DE138" s="142"/>
      <c r="DF138" s="385">
        <f>IF($D138&lt;=SUM($N$35:$U$35),0,1)</f>
        <v>0</v>
      </c>
      <c r="DG138" s="385">
        <f>IF($E138&lt;=SUM($V$35:$Y$35),0,1)</f>
        <v>0</v>
      </c>
      <c r="DH138" s="385">
        <f>IF($F138&lt;=SUM($Z$35:$AA$35),0,1)</f>
        <v>0</v>
      </c>
      <c r="DI138" s="385">
        <f>IF($G138&lt;=SUM($AB$35:$AC$35),0,1)</f>
        <v>0</v>
      </c>
      <c r="DJ138" s="385">
        <f>IF($H138&lt;=SUM($AF$35:$AG$35),0,1)</f>
        <v>0</v>
      </c>
      <c r="DK138" s="385">
        <f>IF($I138&lt;=SUM($F$69:$G$69),0,1)</f>
        <v>0</v>
      </c>
      <c r="DL138" s="142"/>
      <c r="DM138" s="142"/>
      <c r="DN138" s="142"/>
      <c r="DO138" s="142"/>
      <c r="DP138" s="142"/>
      <c r="DQ138" s="142"/>
      <c r="DR138" s="142"/>
      <c r="DS138" s="142"/>
      <c r="DT138" s="142"/>
      <c r="DU138" s="142"/>
      <c r="DV138" s="142"/>
    </row>
    <row r="139" spans="1:126" ht="21.75" customHeight="1">
      <c r="A139" s="1805" t="s">
        <v>258</v>
      </c>
      <c r="B139" s="1806"/>
      <c r="C139" s="547">
        <f>SUM(D139:I139)</f>
        <v>0</v>
      </c>
      <c r="D139" s="401"/>
      <c r="E139" s="409"/>
      <c r="F139" s="409"/>
      <c r="G139" s="409"/>
      <c r="H139" s="409"/>
      <c r="I139" s="403"/>
      <c r="J139" s="541" t="str">
        <f xml:space="preserve"> CF139 &amp; CG139 &amp; CH139 &amp; CI139 &amp; CJ139 &amp; CK139</f>
        <v/>
      </c>
      <c r="BS139" s="6"/>
      <c r="BT139" s="6"/>
      <c r="BU139" s="6"/>
      <c r="CA139" s="290"/>
      <c r="CB139" s="290"/>
      <c r="CC139" s="290"/>
      <c r="CD139" s="290"/>
      <c r="CE139" s="290"/>
      <c r="CF139" s="383" t="str">
        <f>IF($D139&lt;=SUM($N$35:$U$35),"","* Niños(as) de 4 a 11 ms clasificados debe ser menor o igual al Total niños diagnostidos en NORMAL sección A misma edad. ")</f>
        <v/>
      </c>
      <c r="CG139" s="383" t="str">
        <f>IF($E139&lt;=SUM($V$35:$Y$35),"","* Niños(as) de 12 a 23 ms clasificados debe ser menor o igual al Total niños diagnosticados en NORMAL en sección A misma edad. ")</f>
        <v/>
      </c>
      <c r="CH139" s="383" t="str">
        <f>IF($F139&lt;=SUM($Z$35:$AA$35),"","* Niños(as) de 24 a 35 ms clasificados debe ser menor o igual al Total niños diagnosticados en NORMAL en sección A misma edad. ")</f>
        <v/>
      </c>
      <c r="CI139" s="383" t="str">
        <f>IF($G139&lt;=SUM($AB$35:$AC$35),"","* Niños(as) de 36 a 47 ms clasificados debe ser menor o igual al Total niños diagnosticos en NORMAL en sección A misma edad. ")</f>
        <v/>
      </c>
      <c r="CJ139" s="383" t="str">
        <f>IF($H139&lt;=SUM($AF$35:$AG$35),"","* Niños(as) de 48 a 59 ms clasificados debe ser menor o igual al Total niños diagnosticados en NORMAL en sección A misma edad. ")</f>
        <v/>
      </c>
      <c r="CK139" s="383" t="str">
        <f>IF($I139&lt;=SUM($F$69:$G$69),"","* Niños(as) de 60 a 71 ms clasificados debe ser menor o igual al Total niños diagnosticados en NORMAL en sección A1 misma edad. ")</f>
        <v/>
      </c>
      <c r="CL139" s="355"/>
      <c r="CM139" s="355"/>
      <c r="CN139" s="355"/>
      <c r="CO139" s="355"/>
      <c r="CP139" s="355"/>
      <c r="CQ139" s="355"/>
      <c r="CR139" s="355"/>
      <c r="CS139" s="355"/>
      <c r="CT139" s="355"/>
      <c r="CU139" s="355"/>
      <c r="CV139" s="355"/>
      <c r="CW139" s="355"/>
      <c r="CX139" s="355"/>
      <c r="CY139" s="355"/>
      <c r="CZ139" s="355"/>
      <c r="DA139" s="355"/>
      <c r="DB139" s="290"/>
      <c r="DC139" s="290"/>
      <c r="DD139" s="142"/>
      <c r="DE139" s="142"/>
      <c r="DF139" s="385">
        <f t="shared" ref="DF139" si="136">IF($D139&lt;=SUM($N$35:$U$35),0,1)</f>
        <v>0</v>
      </c>
      <c r="DG139" s="385">
        <f>IF($E139&lt;=SUM($V$35:$Y$35),0,1)</f>
        <v>0</v>
      </c>
      <c r="DH139" s="385">
        <f>IF($F139&lt;=SUM($Z$35:$AA$35),0,1)</f>
        <v>0</v>
      </c>
      <c r="DI139" s="385">
        <f>IF($G139&lt;=SUM($AB$35:$AC$35),0,1)</f>
        <v>0</v>
      </c>
      <c r="DJ139" s="385">
        <f>IF($H139&lt;=SUM($AF$35:$AG$35),0,1)</f>
        <v>0</v>
      </c>
      <c r="DK139" s="385">
        <f>IF($I139&lt;=SUM($F$69:$G$69),0,1)</f>
        <v>0</v>
      </c>
      <c r="DL139" s="142"/>
      <c r="DM139" s="142"/>
      <c r="DN139" s="142"/>
      <c r="DO139" s="142"/>
      <c r="DP139" s="142"/>
      <c r="DQ139" s="142"/>
      <c r="DR139" s="142"/>
      <c r="DS139" s="142"/>
      <c r="DT139" s="142"/>
      <c r="DU139" s="142"/>
      <c r="DV139" s="142"/>
    </row>
    <row r="140" spans="1:126" ht="16.5" customHeight="1">
      <c r="A140" s="1807" t="s">
        <v>5</v>
      </c>
      <c r="B140" s="1808"/>
      <c r="C140" s="411">
        <f>SUM(D140:I140)</f>
        <v>0</v>
      </c>
      <c r="D140" s="412">
        <f t="shared" ref="D140:I140" si="137">SUM(D138:D139)</f>
        <v>0</v>
      </c>
      <c r="E140" s="418">
        <f t="shared" si="137"/>
        <v>0</v>
      </c>
      <c r="F140" s="418">
        <f t="shared" si="137"/>
        <v>0</v>
      </c>
      <c r="G140" s="413">
        <f t="shared" si="137"/>
        <v>0</v>
      </c>
      <c r="H140" s="418">
        <f t="shared" si="137"/>
        <v>0</v>
      </c>
      <c r="I140" s="414">
        <f t="shared" si="137"/>
        <v>0</v>
      </c>
      <c r="J140" s="350" t="str">
        <f xml:space="preserve"> CF140 &amp; CG140 &amp; CH140 &amp; CI140 &amp; CJ140 &amp; CK140</f>
        <v/>
      </c>
      <c r="BS140" s="6"/>
      <c r="BT140" s="6"/>
      <c r="BU140" s="6"/>
      <c r="CA140" s="290"/>
      <c r="CB140" s="290"/>
      <c r="CC140" s="290"/>
      <c r="CD140" s="290"/>
      <c r="CE140" s="290"/>
      <c r="CF140" s="290"/>
      <c r="CG140" s="290"/>
      <c r="CH140" s="290"/>
      <c r="CI140" s="290"/>
      <c r="CJ140" s="290"/>
      <c r="CK140" s="290"/>
      <c r="CL140" s="290"/>
      <c r="CM140" s="355"/>
      <c r="CN140" s="355"/>
      <c r="CO140" s="355"/>
      <c r="CP140" s="355"/>
      <c r="CQ140" s="355"/>
      <c r="CR140" s="355"/>
      <c r="CS140" s="355"/>
      <c r="CT140" s="355"/>
      <c r="CU140" s="355"/>
      <c r="CV140" s="355"/>
      <c r="CW140" s="355"/>
      <c r="CX140" s="355"/>
      <c r="CY140" s="355"/>
      <c r="CZ140" s="355"/>
      <c r="DA140" s="355"/>
      <c r="DB140" s="290"/>
      <c r="DC140" s="290"/>
      <c r="DD140" s="142"/>
      <c r="DE140" s="142"/>
      <c r="DF140" s="142"/>
      <c r="DG140" s="142"/>
      <c r="DH140" s="142"/>
      <c r="DI140" s="142"/>
      <c r="DJ140" s="142"/>
      <c r="DK140" s="142"/>
      <c r="DL140" s="142"/>
      <c r="DM140" s="142"/>
      <c r="DN140" s="142"/>
      <c r="DO140" s="142"/>
      <c r="DP140" s="142"/>
      <c r="DQ140" s="142"/>
      <c r="DR140" s="142"/>
      <c r="DS140" s="142"/>
      <c r="DT140" s="142"/>
      <c r="DU140" s="142"/>
      <c r="DV140" s="142"/>
    </row>
    <row r="141" spans="1:126" ht="27.75" customHeight="1">
      <c r="A141" s="518" t="s">
        <v>259</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row>
    <row r="142" spans="1:126" ht="19.5" customHeight="1">
      <c r="A142" s="1809" t="s">
        <v>260</v>
      </c>
      <c r="B142" s="1810"/>
      <c r="C142" s="1815" t="s">
        <v>5</v>
      </c>
      <c r="D142" s="1816"/>
      <c r="E142" s="1817"/>
      <c r="F142" s="1821" t="s">
        <v>197</v>
      </c>
      <c r="G142" s="1822"/>
      <c r="H142" s="1822"/>
      <c r="I142" s="1822"/>
      <c r="J142" s="1822"/>
      <c r="K142" s="1822"/>
      <c r="L142" s="1822"/>
      <c r="M142" s="1822"/>
      <c r="N142" s="1822"/>
      <c r="O142" s="1822"/>
      <c r="P142" s="1822"/>
      <c r="Q142" s="1822"/>
      <c r="R142" s="1822"/>
      <c r="S142" s="1822"/>
      <c r="T142" s="1822"/>
      <c r="U142" s="1822"/>
      <c r="V142" s="1822"/>
      <c r="W142" s="1822"/>
      <c r="X142" s="1822"/>
      <c r="Y142" s="1822"/>
      <c r="Z142" s="1822"/>
      <c r="AA142" s="1822"/>
      <c r="AB142" s="1822"/>
      <c r="AC142" s="1822"/>
      <c r="AD142" s="1822"/>
      <c r="AE142" s="1822"/>
      <c r="AF142" s="1822"/>
      <c r="AG142" s="1822"/>
      <c r="AH142" s="1822"/>
      <c r="AI142" s="1822"/>
      <c r="AJ142" s="1822"/>
      <c r="AK142" s="1822"/>
      <c r="AL142" s="1822"/>
      <c r="AM142" s="1822"/>
      <c r="AN142" s="1822"/>
      <c r="AO142" s="1822"/>
      <c r="AP142" s="1822"/>
      <c r="AQ142" s="1823"/>
      <c r="AR142" s="1824" t="s">
        <v>7</v>
      </c>
      <c r="AS142" s="1798"/>
      <c r="AT142" s="1797" t="s">
        <v>58</v>
      </c>
      <c r="AU142" s="1798"/>
      <c r="AV142" s="5"/>
      <c r="AW142" s="5"/>
      <c r="AX142" s="5"/>
      <c r="AY142" s="5"/>
      <c r="AZ142" s="5"/>
      <c r="BR142" s="346"/>
      <c r="BS142" s="346"/>
      <c r="BT142" s="346"/>
      <c r="BU142" s="346"/>
    </row>
    <row r="143" spans="1:126" ht="19.5" customHeight="1">
      <c r="A143" s="1811"/>
      <c r="B143" s="1812"/>
      <c r="C143" s="1818"/>
      <c r="D143" s="1819"/>
      <c r="E143" s="1820"/>
      <c r="F143" s="1801" t="s">
        <v>164</v>
      </c>
      <c r="G143" s="1796"/>
      <c r="H143" s="1796" t="s">
        <v>165</v>
      </c>
      <c r="I143" s="1796"/>
      <c r="J143" s="1796" t="s">
        <v>166</v>
      </c>
      <c r="K143" s="1796"/>
      <c r="L143" s="1796" t="s">
        <v>167</v>
      </c>
      <c r="M143" s="1796"/>
      <c r="N143" s="1796" t="s">
        <v>168</v>
      </c>
      <c r="O143" s="1796"/>
      <c r="P143" s="1796" t="s">
        <v>169</v>
      </c>
      <c r="Q143" s="1796"/>
      <c r="R143" s="1796" t="s">
        <v>170</v>
      </c>
      <c r="S143" s="1796"/>
      <c r="T143" s="1796" t="s">
        <v>171</v>
      </c>
      <c r="U143" s="1796"/>
      <c r="V143" s="1796" t="s">
        <v>172</v>
      </c>
      <c r="W143" s="1796"/>
      <c r="X143" s="1796" t="s">
        <v>173</v>
      </c>
      <c r="Y143" s="1796"/>
      <c r="Z143" s="1796" t="s">
        <v>174</v>
      </c>
      <c r="AA143" s="1796"/>
      <c r="AB143" s="1796" t="s">
        <v>175</v>
      </c>
      <c r="AC143" s="1796"/>
      <c r="AD143" s="1796" t="s">
        <v>176</v>
      </c>
      <c r="AE143" s="1796"/>
      <c r="AF143" s="1796" t="s">
        <v>177</v>
      </c>
      <c r="AG143" s="1796"/>
      <c r="AH143" s="1796" t="s">
        <v>198</v>
      </c>
      <c r="AI143" s="1796"/>
      <c r="AJ143" s="1796" t="s">
        <v>262</v>
      </c>
      <c r="AK143" s="1796"/>
      <c r="AL143" s="1796" t="s">
        <v>263</v>
      </c>
      <c r="AM143" s="1796"/>
      <c r="AN143" s="1796" t="s">
        <v>264</v>
      </c>
      <c r="AO143" s="1796"/>
      <c r="AP143" s="1796" t="s">
        <v>13</v>
      </c>
      <c r="AQ143" s="1802"/>
      <c r="AR143" s="1825"/>
      <c r="AS143" s="1800"/>
      <c r="AT143" s="1799"/>
      <c r="AU143" s="1800"/>
      <c r="AV143" s="5"/>
      <c r="AW143" s="5"/>
      <c r="AX143" s="5"/>
      <c r="AY143" s="5"/>
      <c r="AZ143" s="5"/>
      <c r="BR143" s="346"/>
      <c r="BS143" s="346"/>
      <c r="BT143" s="346"/>
      <c r="BU143" s="346"/>
    </row>
    <row r="144" spans="1:126" ht="28.5" customHeight="1">
      <c r="A144" s="1813"/>
      <c r="B144" s="1814"/>
      <c r="C144" s="586" t="s">
        <v>178</v>
      </c>
      <c r="D144" s="483" t="s">
        <v>42</v>
      </c>
      <c r="E144" s="479" t="s">
        <v>179</v>
      </c>
      <c r="F144" s="359" t="s">
        <v>42</v>
      </c>
      <c r="G144" s="571" t="s">
        <v>179</v>
      </c>
      <c r="H144" s="571" t="s">
        <v>42</v>
      </c>
      <c r="I144" s="571" t="s">
        <v>179</v>
      </c>
      <c r="J144" s="571" t="s">
        <v>42</v>
      </c>
      <c r="K144" s="571" t="s">
        <v>179</v>
      </c>
      <c r="L144" s="571" t="s">
        <v>42</v>
      </c>
      <c r="M144" s="571" t="s">
        <v>179</v>
      </c>
      <c r="N144" s="571" t="s">
        <v>42</v>
      </c>
      <c r="O144" s="571" t="s">
        <v>179</v>
      </c>
      <c r="P144" s="571" t="s">
        <v>42</v>
      </c>
      <c r="Q144" s="571" t="s">
        <v>179</v>
      </c>
      <c r="R144" s="571" t="s">
        <v>42</v>
      </c>
      <c r="S144" s="571" t="s">
        <v>179</v>
      </c>
      <c r="T144" s="571" t="s">
        <v>42</v>
      </c>
      <c r="U144" s="571" t="s">
        <v>179</v>
      </c>
      <c r="V144" s="571" t="s">
        <v>42</v>
      </c>
      <c r="W144" s="571" t="s">
        <v>179</v>
      </c>
      <c r="X144" s="571" t="s">
        <v>42</v>
      </c>
      <c r="Y144" s="571" t="s">
        <v>179</v>
      </c>
      <c r="Z144" s="571" t="s">
        <v>42</v>
      </c>
      <c r="AA144" s="571" t="s">
        <v>179</v>
      </c>
      <c r="AB144" s="571" t="s">
        <v>42</v>
      </c>
      <c r="AC144" s="571" t="s">
        <v>179</v>
      </c>
      <c r="AD144" s="571" t="s">
        <v>42</v>
      </c>
      <c r="AE144" s="571" t="s">
        <v>179</v>
      </c>
      <c r="AF144" s="571" t="s">
        <v>42</v>
      </c>
      <c r="AG144" s="571" t="s">
        <v>179</v>
      </c>
      <c r="AH144" s="571" t="s">
        <v>42</v>
      </c>
      <c r="AI144" s="571" t="s">
        <v>179</v>
      </c>
      <c r="AJ144" s="571" t="s">
        <v>42</v>
      </c>
      <c r="AK144" s="571" t="s">
        <v>179</v>
      </c>
      <c r="AL144" s="571" t="s">
        <v>42</v>
      </c>
      <c r="AM144" s="571" t="s">
        <v>179</v>
      </c>
      <c r="AN144" s="571" t="s">
        <v>42</v>
      </c>
      <c r="AO144" s="571" t="s">
        <v>179</v>
      </c>
      <c r="AP144" s="571" t="s">
        <v>42</v>
      </c>
      <c r="AQ144" s="362" t="s">
        <v>179</v>
      </c>
      <c r="AR144" s="587" t="s">
        <v>42</v>
      </c>
      <c r="AS144" s="362" t="s">
        <v>179</v>
      </c>
      <c r="AT144" s="359" t="s">
        <v>42</v>
      </c>
      <c r="AU144" s="361" t="s">
        <v>179</v>
      </c>
      <c r="AV144" s="5"/>
      <c r="AW144" s="5"/>
      <c r="AX144" s="5"/>
      <c r="AY144" s="5"/>
      <c r="AZ144" s="5"/>
      <c r="BR144" s="346"/>
      <c r="BS144" s="346"/>
      <c r="BT144" s="346"/>
      <c r="BU144" s="346"/>
    </row>
    <row r="145" spans="1:126" ht="21" customHeight="1">
      <c r="A145" s="1794" t="s">
        <v>265</v>
      </c>
      <c r="B145" s="1795"/>
      <c r="C145" s="412">
        <f t="shared" ref="C145:C161" si="138">SUM(D145:E145)</f>
        <v>0</v>
      </c>
      <c r="D145" s="418">
        <f t="shared" ref="D145:E161" si="139">+F145+H145+J145+L145+N145+P145+R145+T145+V145+X145+Z145+AB145+AD145+AF145+AH145+AN145+AP145+AJ145+AL145</f>
        <v>0</v>
      </c>
      <c r="E145" s="414">
        <f t="shared" si="139"/>
        <v>0</v>
      </c>
      <c r="F145" s="380"/>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445"/>
      <c r="AR145" s="378"/>
      <c r="AS145" s="445"/>
      <c r="AT145" s="373"/>
      <c r="AU145" s="374"/>
      <c r="AV145" s="541" t="str">
        <f t="shared" ref="AV145:AV189" si="140">CB145&amp;CC145&amp;CD145&amp;CE145</f>
        <v/>
      </c>
      <c r="BK145" s="6"/>
      <c r="BL145" s="6"/>
      <c r="BR145" s="346"/>
      <c r="BS145" s="346"/>
      <c r="BT145" s="346"/>
      <c r="BU145" s="346"/>
      <c r="CA145" s="290"/>
      <c r="CB145" s="383" t="str">
        <f>IF(AND(D145&gt;0,AR145="")," * No olvide digitar la variable Pueblos Originarios  hombres (Digite Cero si no tiene).",IF(AR145&gt;D145," * La variable Pueblos Originarios  hombres  no debe ser mayor que el Total de Hombres.",""))</f>
        <v/>
      </c>
      <c r="CC145" s="383" t="str">
        <f>IF(AND(E145&gt;0,AS145="")," * No olvide digitar la variable Pueblos Originarios Mujeres (Digite Cero si no tiene). Digite Cero si no tiene.",IF(AS145&gt;E145," * La variable Pueblos Originarios Mujeres no debe ser mayor que el Total de Mujeres",""))</f>
        <v/>
      </c>
      <c r="CD145" s="383" t="str">
        <f>IF(AND(D145&gt;0,AT145="")," * No olvide digitar la variable Migrantes hombres (Digite Cero si no tiene).",IF(AT145&gt;D145," * La variable Migrantes  hombres  no debe ser mayor que el Total de Hombres",""))</f>
        <v/>
      </c>
      <c r="CE145" s="383" t="str">
        <f>IF(AND(E145&gt;0,AU145="")," * No olvide digitar la variable Migrantes Mujeres (Digite Cero si no tiene).",IF(AU145&gt;E145," * La variable Migrantes  Mujeres no debe ser mayor que el Total de Mujeres",""))</f>
        <v/>
      </c>
      <c r="CF145" s="290"/>
      <c r="CG145" s="290"/>
      <c r="CH145" s="290"/>
      <c r="CI145" s="290"/>
      <c r="CJ145" s="290"/>
      <c r="CK145" s="290"/>
      <c r="CL145" s="355"/>
      <c r="CM145" s="355"/>
      <c r="CN145" s="355"/>
      <c r="CO145" s="355"/>
      <c r="CP145" s="355"/>
      <c r="CQ145" s="355"/>
      <c r="CR145" s="355"/>
      <c r="CS145" s="355"/>
      <c r="CT145" s="355"/>
      <c r="CU145" s="355"/>
      <c r="CV145" s="355"/>
      <c r="CW145" s="355"/>
      <c r="CX145" s="355"/>
      <c r="CY145" s="355"/>
      <c r="CZ145" s="355"/>
      <c r="DA145" s="355"/>
      <c r="DB145" s="142"/>
      <c r="DC145" s="142"/>
      <c r="DD145" s="142"/>
      <c r="DE145" s="142"/>
      <c r="DF145" s="142">
        <f>IF(AND(D145&gt;0,AR145=""),1,IF(AR145&gt;D145,1,0))</f>
        <v>0</v>
      </c>
      <c r="DG145" s="142">
        <f>IF(AND(E145&gt;0,AS145=""),1,IF(AS145&gt;E145,1,0))</f>
        <v>0</v>
      </c>
      <c r="DH145" s="142">
        <f>IF(AND(D145&gt;0,AT145=""),1,IF(AT145&gt;D145,1,0))</f>
        <v>0</v>
      </c>
      <c r="DI145" s="142">
        <f>IF(AND(E145&gt;0,AU145=""),1,IF(AU145&gt;E145,1,0))</f>
        <v>0</v>
      </c>
      <c r="DJ145" s="142"/>
      <c r="DK145" s="142"/>
      <c r="DL145" s="142"/>
      <c r="DM145" s="142"/>
      <c r="DN145" s="142"/>
      <c r="DO145" s="142"/>
      <c r="DP145" s="142"/>
      <c r="DQ145" s="142"/>
      <c r="DR145" s="142"/>
      <c r="DS145" s="142"/>
      <c r="DT145" s="142"/>
      <c r="DU145" s="142"/>
      <c r="DV145" s="142"/>
    </row>
    <row r="146" spans="1:126" ht="16.5" customHeight="1">
      <c r="A146" s="1791" t="s">
        <v>266</v>
      </c>
      <c r="B146" s="1792"/>
      <c r="C146" s="498">
        <f t="shared" si="138"/>
        <v>0</v>
      </c>
      <c r="D146" s="588">
        <f t="shared" si="139"/>
        <v>0</v>
      </c>
      <c r="E146" s="589">
        <f t="shared" si="139"/>
        <v>0</v>
      </c>
      <c r="F146" s="435"/>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36"/>
      <c r="AR146" s="440"/>
      <c r="AS146" s="436"/>
      <c r="AT146" s="434"/>
      <c r="AU146" s="437"/>
      <c r="AV146" s="541" t="str">
        <f t="shared" si="140"/>
        <v/>
      </c>
      <c r="AW146" s="350"/>
      <c r="AX146" s="529"/>
      <c r="AY146" s="529"/>
      <c r="AZ146" s="529"/>
      <c r="BA146" s="529"/>
      <c r="BB146" s="529"/>
      <c r="BC146" s="350"/>
      <c r="BD146" s="350"/>
      <c r="BE146" s="350"/>
      <c r="BF146" s="350"/>
      <c r="BG146" s="350"/>
      <c r="BH146" s="350"/>
      <c r="BI146" s="350"/>
      <c r="BJ146" s="350"/>
      <c r="BK146" s="350"/>
      <c r="BL146" s="350"/>
      <c r="BR146" s="346"/>
      <c r="BS146" s="346"/>
      <c r="BT146" s="346"/>
      <c r="BU146" s="346"/>
      <c r="CA146" s="290"/>
      <c r="CB146" s="383" t="str">
        <f t="shared" ref="CB146:CB189" si="141">IF(AND(D146&gt;0,AR146="")," * No olvide digitar la variable Pueblos Originarios  hombres (Digite Cero si no tiene).",IF(AR146&gt;D146," * La variable Pueblos Originarios  hombres  no debe ser mayor que el Total de Hombres.",""))</f>
        <v/>
      </c>
      <c r="CC146" s="383" t="str">
        <f t="shared" ref="CC146:CC189" si="142">IF(AND(E146&gt;0,AS146="")," * No olvide digitar la variable Pueblos Originarios Mujeres (Digite Cero si no tiene). Digite Cero si no tiene.",IF(AS146&gt;E146," * La variable Pueblos Originarios Mujeres no debe ser mayor que el Total de Mujeres",""))</f>
        <v/>
      </c>
      <c r="CD146" s="383" t="str">
        <f t="shared" ref="CD146:CD189" si="143">IF(AND(D146&gt;0,AT146="")," * No olvide digitar la variable Migrantes hombres (Digite Cero si no tiene).",IF(AT146&gt;D146," * La variable Migrantes  hombres  no debe ser mayor que el Total de Hombres",""))</f>
        <v/>
      </c>
      <c r="CE146" s="383" t="str">
        <f t="shared" ref="CE146:CE189" si="144">IF(AND(E146&gt;0,AU146="")," * No olvide digitar la variable Migrantes Mujeres (Digite Cero si no tiene).",IF(AU146&gt;E146," * La variable Migrantes  Mujeres no debe ser mayor que el Total de Mujeres",""))</f>
        <v/>
      </c>
      <c r="CF146" s="290"/>
      <c r="CG146" s="290"/>
      <c r="CH146" s="290"/>
      <c r="CI146" s="290"/>
      <c r="CJ146" s="290"/>
      <c r="CK146" s="290"/>
      <c r="CL146" s="355"/>
      <c r="CM146" s="355"/>
      <c r="CN146" s="355"/>
      <c r="CO146" s="355"/>
      <c r="CP146" s="355"/>
      <c r="CQ146" s="355"/>
      <c r="CR146" s="355"/>
      <c r="CS146" s="355"/>
      <c r="CT146" s="355"/>
      <c r="CU146" s="355"/>
      <c r="CV146" s="355"/>
      <c r="CW146" s="355"/>
      <c r="CX146" s="355"/>
      <c r="CY146" s="355"/>
      <c r="CZ146" s="355"/>
      <c r="DA146" s="355"/>
      <c r="DB146" s="142"/>
      <c r="DC146" s="142"/>
      <c r="DD146" s="142"/>
      <c r="DE146" s="142"/>
      <c r="DF146" s="142">
        <f t="shared" ref="DF146:DG189" si="145">IF(AND(D146&gt;0,AR146=""),1,IF(AR146&gt;D146,1,0))</f>
        <v>0</v>
      </c>
      <c r="DG146" s="142">
        <f t="shared" si="145"/>
        <v>0</v>
      </c>
      <c r="DH146" s="142">
        <f t="shared" ref="DH146:DI189" si="146">IF(AND(D146&gt;0,AT146=""),1,IF(AT146&gt;D146,1,0))</f>
        <v>0</v>
      </c>
      <c r="DI146" s="142">
        <f t="shared" si="146"/>
        <v>0</v>
      </c>
      <c r="DJ146" s="142"/>
      <c r="DK146" s="142"/>
      <c r="DL146" s="142"/>
      <c r="DM146" s="142"/>
      <c r="DN146" s="142"/>
      <c r="DO146" s="142"/>
      <c r="DP146" s="142"/>
      <c r="DQ146" s="142"/>
      <c r="DR146" s="142"/>
      <c r="DS146" s="142"/>
      <c r="DT146" s="142"/>
      <c r="DU146" s="142"/>
      <c r="DV146" s="142"/>
    </row>
    <row r="147" spans="1:126" ht="16.5" customHeight="1">
      <c r="A147" s="1791" t="s">
        <v>267</v>
      </c>
      <c r="B147" s="1792"/>
      <c r="C147" s="491">
        <f t="shared" si="138"/>
        <v>0</v>
      </c>
      <c r="D147" s="590">
        <f t="shared" si="139"/>
        <v>0</v>
      </c>
      <c r="E147" s="591">
        <f t="shared" si="139"/>
        <v>0</v>
      </c>
      <c r="F147" s="460"/>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63"/>
      <c r="AK147" s="463"/>
      <c r="AL147" s="463"/>
      <c r="AM147" s="463"/>
      <c r="AN147" s="463"/>
      <c r="AO147" s="463"/>
      <c r="AP147" s="463"/>
      <c r="AQ147" s="459"/>
      <c r="AR147" s="462"/>
      <c r="AS147" s="459"/>
      <c r="AT147" s="457"/>
      <c r="AU147" s="458"/>
      <c r="AV147" s="541" t="str">
        <f t="shared" si="140"/>
        <v/>
      </c>
      <c r="AW147" s="350"/>
      <c r="AX147" s="350"/>
      <c r="AY147" s="350"/>
      <c r="AZ147" s="350"/>
      <c r="BR147" s="346"/>
      <c r="BS147" s="346"/>
      <c r="BT147" s="346"/>
      <c r="BU147" s="346"/>
      <c r="CA147" s="290"/>
      <c r="CB147" s="383" t="str">
        <f t="shared" si="141"/>
        <v/>
      </c>
      <c r="CC147" s="383" t="str">
        <f t="shared" si="142"/>
        <v/>
      </c>
      <c r="CD147" s="383" t="str">
        <f t="shared" si="143"/>
        <v/>
      </c>
      <c r="CE147" s="383" t="str">
        <f t="shared" si="144"/>
        <v/>
      </c>
      <c r="CF147" s="290"/>
      <c r="CG147" s="290"/>
      <c r="CH147" s="290"/>
      <c r="CI147" s="290"/>
      <c r="CJ147" s="290"/>
      <c r="CK147" s="290"/>
      <c r="CL147" s="355"/>
      <c r="CM147" s="355"/>
      <c r="CN147" s="355"/>
      <c r="CO147" s="355"/>
      <c r="CP147" s="355"/>
      <c r="CQ147" s="355"/>
      <c r="CR147" s="355"/>
      <c r="CS147" s="355"/>
      <c r="CT147" s="355"/>
      <c r="CU147" s="355"/>
      <c r="CV147" s="355"/>
      <c r="CW147" s="355"/>
      <c r="CX147" s="355"/>
      <c r="CY147" s="355"/>
      <c r="CZ147" s="355"/>
      <c r="DA147" s="355"/>
      <c r="DB147" s="142"/>
      <c r="DC147" s="142"/>
      <c r="DD147" s="142"/>
      <c r="DE147" s="142"/>
      <c r="DF147" s="142">
        <f t="shared" si="145"/>
        <v>0</v>
      </c>
      <c r="DG147" s="142">
        <f t="shared" si="145"/>
        <v>0</v>
      </c>
      <c r="DH147" s="142">
        <f t="shared" si="146"/>
        <v>0</v>
      </c>
      <c r="DI147" s="142">
        <f t="shared" si="146"/>
        <v>0</v>
      </c>
      <c r="DJ147" s="142"/>
      <c r="DK147" s="142"/>
      <c r="DL147" s="142"/>
      <c r="DM147" s="142"/>
      <c r="DN147" s="142"/>
      <c r="DO147" s="142"/>
      <c r="DP147" s="142"/>
      <c r="DQ147" s="142"/>
      <c r="DR147" s="142"/>
      <c r="DS147" s="142"/>
      <c r="DT147" s="142"/>
      <c r="DU147" s="142"/>
      <c r="DV147" s="142"/>
    </row>
    <row r="148" spans="1:126">
      <c r="A148" s="1791" t="s">
        <v>268</v>
      </c>
      <c r="B148" s="1792" t="s">
        <v>268</v>
      </c>
      <c r="C148" s="491">
        <f t="shared" si="138"/>
        <v>0</v>
      </c>
      <c r="D148" s="590">
        <f t="shared" si="139"/>
        <v>0</v>
      </c>
      <c r="E148" s="591">
        <f t="shared" si="139"/>
        <v>0</v>
      </c>
      <c r="F148" s="460"/>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463"/>
      <c r="AH148" s="463"/>
      <c r="AI148" s="463"/>
      <c r="AJ148" s="463"/>
      <c r="AK148" s="463"/>
      <c r="AL148" s="463"/>
      <c r="AM148" s="463"/>
      <c r="AN148" s="463"/>
      <c r="AO148" s="463"/>
      <c r="AP148" s="463"/>
      <c r="AQ148" s="459"/>
      <c r="AR148" s="462"/>
      <c r="AS148" s="459"/>
      <c r="AT148" s="457"/>
      <c r="AU148" s="458"/>
      <c r="AV148" s="541" t="str">
        <f t="shared" si="140"/>
        <v/>
      </c>
      <c r="CA148" s="290"/>
      <c r="CB148" s="383" t="str">
        <f t="shared" si="141"/>
        <v/>
      </c>
      <c r="CC148" s="383" t="str">
        <f t="shared" si="142"/>
        <v/>
      </c>
      <c r="CD148" s="383" t="str">
        <f t="shared" si="143"/>
        <v/>
      </c>
      <c r="CE148" s="383" t="str">
        <f t="shared" si="144"/>
        <v/>
      </c>
      <c r="CF148" s="290"/>
      <c r="CG148" s="290"/>
      <c r="CH148" s="290"/>
      <c r="CI148" s="290"/>
      <c r="CJ148" s="290"/>
      <c r="CK148" s="290"/>
      <c r="CL148" s="355"/>
      <c r="CM148" s="355"/>
      <c r="CN148" s="355"/>
      <c r="CO148" s="355"/>
      <c r="CP148" s="355"/>
      <c r="CQ148" s="355"/>
      <c r="CR148" s="355"/>
      <c r="CS148" s="355"/>
      <c r="CT148" s="355"/>
      <c r="CU148" s="355"/>
      <c r="CV148" s="355"/>
      <c r="CW148" s="355"/>
      <c r="CX148" s="355"/>
      <c r="CY148" s="355"/>
      <c r="CZ148" s="355"/>
      <c r="DA148" s="355"/>
      <c r="DB148" s="142"/>
      <c r="DC148" s="142"/>
      <c r="DD148" s="142"/>
      <c r="DE148" s="142"/>
      <c r="DF148" s="142">
        <f t="shared" si="145"/>
        <v>0</v>
      </c>
      <c r="DG148" s="142">
        <f t="shared" si="145"/>
        <v>0</v>
      </c>
      <c r="DH148" s="142">
        <f t="shared" si="146"/>
        <v>0</v>
      </c>
      <c r="DI148" s="142">
        <f t="shared" si="146"/>
        <v>0</v>
      </c>
      <c r="DJ148" s="290"/>
      <c r="DK148" s="290"/>
      <c r="DL148" s="142"/>
      <c r="DM148" s="142"/>
      <c r="DN148" s="142"/>
      <c r="DO148" s="142"/>
      <c r="DP148" s="142"/>
      <c r="DQ148" s="142"/>
      <c r="DR148" s="142"/>
      <c r="DS148" s="142"/>
      <c r="DT148" s="142"/>
      <c r="DU148" s="142"/>
      <c r="DV148" s="142"/>
    </row>
    <row r="149" spans="1:126" ht="16.5" customHeight="1">
      <c r="A149" s="1791" t="s">
        <v>269</v>
      </c>
      <c r="B149" s="1792" t="s">
        <v>269</v>
      </c>
      <c r="C149" s="491">
        <f t="shared" si="138"/>
        <v>0</v>
      </c>
      <c r="D149" s="590">
        <f t="shared" si="139"/>
        <v>0</v>
      </c>
      <c r="E149" s="591">
        <f t="shared" si="139"/>
        <v>0</v>
      </c>
      <c r="F149" s="460"/>
      <c r="G149" s="463"/>
      <c r="H149" s="463"/>
      <c r="I149" s="463"/>
      <c r="J149" s="463"/>
      <c r="K149" s="463"/>
      <c r="L149" s="463"/>
      <c r="M149" s="463"/>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c r="AI149" s="463"/>
      <c r="AJ149" s="463"/>
      <c r="AK149" s="463"/>
      <c r="AL149" s="463"/>
      <c r="AM149" s="463"/>
      <c r="AN149" s="463"/>
      <c r="AO149" s="463"/>
      <c r="AP149" s="463"/>
      <c r="AQ149" s="459"/>
      <c r="AR149" s="462"/>
      <c r="AS149" s="459"/>
      <c r="AT149" s="457"/>
      <c r="AU149" s="458"/>
      <c r="AV149" s="541" t="str">
        <f t="shared" si="140"/>
        <v/>
      </c>
      <c r="AW149" s="350"/>
      <c r="AX149" s="350"/>
      <c r="AY149" s="350"/>
      <c r="AZ149" s="350"/>
      <c r="BR149" s="346"/>
      <c r="BS149" s="346"/>
      <c r="BT149" s="346"/>
      <c r="BU149" s="346"/>
      <c r="CA149" s="290"/>
      <c r="CB149" s="383" t="str">
        <f t="shared" si="141"/>
        <v/>
      </c>
      <c r="CC149" s="383" t="str">
        <f t="shared" si="142"/>
        <v/>
      </c>
      <c r="CD149" s="383" t="str">
        <f t="shared" si="143"/>
        <v/>
      </c>
      <c r="CE149" s="383" t="str">
        <f t="shared" si="144"/>
        <v/>
      </c>
      <c r="CF149" s="290"/>
      <c r="CG149" s="290"/>
      <c r="CH149" s="290"/>
      <c r="CI149" s="290"/>
      <c r="CJ149" s="290"/>
      <c r="CK149" s="290"/>
      <c r="CL149" s="355"/>
      <c r="CM149" s="355"/>
      <c r="CN149" s="355"/>
      <c r="CO149" s="355"/>
      <c r="CP149" s="355"/>
      <c r="CQ149" s="355"/>
      <c r="CR149" s="355"/>
      <c r="CS149" s="355"/>
      <c r="CT149" s="355"/>
      <c r="CU149" s="355"/>
      <c r="CV149" s="355"/>
      <c r="CW149" s="355"/>
      <c r="CX149" s="355"/>
      <c r="CY149" s="355"/>
      <c r="CZ149" s="355"/>
      <c r="DA149" s="355"/>
      <c r="DB149" s="142"/>
      <c r="DC149" s="142"/>
      <c r="DD149" s="142"/>
      <c r="DE149" s="142"/>
      <c r="DF149" s="142">
        <f t="shared" si="145"/>
        <v>0</v>
      </c>
      <c r="DG149" s="142">
        <f t="shared" si="145"/>
        <v>0</v>
      </c>
      <c r="DH149" s="142">
        <f t="shared" si="146"/>
        <v>0</v>
      </c>
      <c r="DI149" s="142">
        <f t="shared" si="146"/>
        <v>0</v>
      </c>
      <c r="DJ149" s="142"/>
      <c r="DK149" s="142"/>
      <c r="DL149" s="142"/>
      <c r="DM149" s="142"/>
      <c r="DN149" s="142"/>
      <c r="DO149" s="142"/>
      <c r="DP149" s="142"/>
      <c r="DQ149" s="142"/>
      <c r="DR149" s="142"/>
      <c r="DS149" s="142"/>
      <c r="DT149" s="142"/>
      <c r="DU149" s="142"/>
      <c r="DV149" s="142"/>
    </row>
    <row r="150" spans="1:126" ht="16.5" customHeight="1">
      <c r="A150" s="1791" t="s">
        <v>270</v>
      </c>
      <c r="B150" s="1792" t="s">
        <v>270</v>
      </c>
      <c r="C150" s="491">
        <f t="shared" si="138"/>
        <v>0</v>
      </c>
      <c r="D150" s="590">
        <f t="shared" si="139"/>
        <v>0</v>
      </c>
      <c r="E150" s="591">
        <f t="shared" si="139"/>
        <v>0</v>
      </c>
      <c r="F150" s="460"/>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3"/>
      <c r="AL150" s="463"/>
      <c r="AM150" s="463"/>
      <c r="AN150" s="463"/>
      <c r="AO150" s="463"/>
      <c r="AP150" s="463"/>
      <c r="AQ150" s="459"/>
      <c r="AR150" s="462"/>
      <c r="AS150" s="459"/>
      <c r="AT150" s="457"/>
      <c r="AU150" s="458"/>
      <c r="AV150" s="541" t="str">
        <f t="shared" si="140"/>
        <v/>
      </c>
      <c r="AW150" s="350"/>
      <c r="AX150" s="350"/>
      <c r="AY150" s="350"/>
      <c r="AZ150" s="350"/>
      <c r="BR150" s="346"/>
      <c r="BS150" s="346"/>
      <c r="BT150" s="346"/>
      <c r="BU150" s="346"/>
      <c r="CA150" s="290"/>
      <c r="CB150" s="383" t="str">
        <f t="shared" si="141"/>
        <v/>
      </c>
      <c r="CC150" s="383" t="str">
        <f t="shared" si="142"/>
        <v/>
      </c>
      <c r="CD150" s="383" t="str">
        <f t="shared" si="143"/>
        <v/>
      </c>
      <c r="CE150" s="383" t="str">
        <f t="shared" si="144"/>
        <v/>
      </c>
      <c r="CF150" s="290"/>
      <c r="CG150" s="290"/>
      <c r="CH150" s="290"/>
      <c r="CI150" s="290"/>
      <c r="CJ150" s="290"/>
      <c r="CK150" s="290"/>
      <c r="CL150" s="355"/>
      <c r="CM150" s="355"/>
      <c r="CN150" s="355"/>
      <c r="CO150" s="355"/>
      <c r="CP150" s="355"/>
      <c r="CQ150" s="355"/>
      <c r="CR150" s="355"/>
      <c r="CS150" s="355"/>
      <c r="CT150" s="355"/>
      <c r="CU150" s="355"/>
      <c r="CV150" s="355"/>
      <c r="CW150" s="355"/>
      <c r="CX150" s="355"/>
      <c r="CY150" s="355"/>
      <c r="CZ150" s="355"/>
      <c r="DA150" s="355"/>
      <c r="DB150" s="142"/>
      <c r="DC150" s="142"/>
      <c r="DD150" s="142"/>
      <c r="DE150" s="142"/>
      <c r="DF150" s="142">
        <f t="shared" si="145"/>
        <v>0</v>
      </c>
      <c r="DG150" s="142">
        <f t="shared" si="145"/>
        <v>0</v>
      </c>
      <c r="DH150" s="142">
        <f t="shared" si="146"/>
        <v>0</v>
      </c>
      <c r="DI150" s="142">
        <f t="shared" si="146"/>
        <v>0</v>
      </c>
      <c r="DJ150" s="142"/>
      <c r="DK150" s="142"/>
      <c r="DL150" s="142"/>
      <c r="DM150" s="142"/>
      <c r="DN150" s="142"/>
      <c r="DO150" s="142"/>
      <c r="DP150" s="142"/>
      <c r="DQ150" s="142"/>
      <c r="DR150" s="142"/>
      <c r="DS150" s="142"/>
      <c r="DT150" s="142"/>
      <c r="DU150" s="142"/>
      <c r="DV150" s="142"/>
    </row>
    <row r="151" spans="1:126" ht="15.75" customHeight="1">
      <c r="A151" s="1791" t="s">
        <v>271</v>
      </c>
      <c r="B151" s="1792" t="s">
        <v>347</v>
      </c>
      <c r="C151" s="491">
        <f t="shared" si="138"/>
        <v>0</v>
      </c>
      <c r="D151" s="590">
        <f t="shared" si="139"/>
        <v>0</v>
      </c>
      <c r="E151" s="591">
        <f t="shared" si="139"/>
        <v>0</v>
      </c>
      <c r="F151" s="460"/>
      <c r="G151" s="463"/>
      <c r="H151" s="463"/>
      <c r="I151" s="463"/>
      <c r="J151" s="463"/>
      <c r="K151" s="463"/>
      <c r="L151" s="463"/>
      <c r="M151" s="463"/>
      <c r="N151" s="463"/>
      <c r="O151" s="463"/>
      <c r="P151" s="463"/>
      <c r="Q151" s="463"/>
      <c r="R151" s="463"/>
      <c r="S151" s="463"/>
      <c r="T151" s="463"/>
      <c r="U151" s="463"/>
      <c r="V151" s="463"/>
      <c r="W151" s="463"/>
      <c r="X151" s="463"/>
      <c r="Y151" s="463"/>
      <c r="Z151" s="463"/>
      <c r="AA151" s="463"/>
      <c r="AB151" s="463"/>
      <c r="AC151" s="463"/>
      <c r="AD151" s="463"/>
      <c r="AE151" s="463"/>
      <c r="AF151" s="463"/>
      <c r="AG151" s="463"/>
      <c r="AH151" s="463"/>
      <c r="AI151" s="463"/>
      <c r="AJ151" s="463"/>
      <c r="AK151" s="463"/>
      <c r="AL151" s="463"/>
      <c r="AM151" s="463"/>
      <c r="AN151" s="463"/>
      <c r="AO151" s="463"/>
      <c r="AP151" s="463"/>
      <c r="AQ151" s="459"/>
      <c r="AR151" s="462"/>
      <c r="AS151" s="459"/>
      <c r="AT151" s="457"/>
      <c r="AU151" s="458"/>
      <c r="AV151" s="541" t="str">
        <f t="shared" si="140"/>
        <v/>
      </c>
      <c r="CA151" s="290"/>
      <c r="CB151" s="383" t="str">
        <f t="shared" si="141"/>
        <v/>
      </c>
      <c r="CC151" s="383" t="str">
        <f t="shared" si="142"/>
        <v/>
      </c>
      <c r="CD151" s="383" t="str">
        <f t="shared" si="143"/>
        <v/>
      </c>
      <c r="CE151" s="383" t="str">
        <f t="shared" si="144"/>
        <v/>
      </c>
      <c r="CF151" s="290"/>
      <c r="CG151" s="290"/>
      <c r="CH151" s="290"/>
      <c r="CI151" s="290"/>
      <c r="CJ151" s="290"/>
      <c r="CK151" s="290"/>
      <c r="CL151" s="355"/>
      <c r="CM151" s="355"/>
      <c r="CN151" s="355"/>
      <c r="CO151" s="355"/>
      <c r="CP151" s="355"/>
      <c r="CQ151" s="355"/>
      <c r="CR151" s="355"/>
      <c r="CS151" s="355"/>
      <c r="CT151" s="355"/>
      <c r="CU151" s="355"/>
      <c r="CV151" s="355"/>
      <c r="CW151" s="355"/>
      <c r="CX151" s="355"/>
      <c r="CY151" s="355"/>
      <c r="CZ151" s="355"/>
      <c r="DA151" s="355"/>
      <c r="DB151" s="142"/>
      <c r="DC151" s="142"/>
      <c r="DD151" s="142"/>
      <c r="DE151" s="142"/>
      <c r="DF151" s="142">
        <f t="shared" si="145"/>
        <v>0</v>
      </c>
      <c r="DG151" s="142">
        <f t="shared" si="145"/>
        <v>0</v>
      </c>
      <c r="DH151" s="142">
        <f t="shared" si="146"/>
        <v>0</v>
      </c>
      <c r="DI151" s="142">
        <f t="shared" si="146"/>
        <v>0</v>
      </c>
      <c r="DJ151" s="290"/>
      <c r="DK151" s="290"/>
      <c r="DL151" s="142"/>
      <c r="DM151" s="142"/>
      <c r="DN151" s="142"/>
      <c r="DO151" s="142"/>
      <c r="DP151" s="142"/>
      <c r="DQ151" s="142"/>
      <c r="DR151" s="142"/>
      <c r="DS151" s="142"/>
      <c r="DT151" s="142"/>
      <c r="DU151" s="142"/>
      <c r="DV151" s="142"/>
    </row>
    <row r="152" spans="1:126" ht="16.5" customHeight="1">
      <c r="A152" s="1791" t="s">
        <v>345</v>
      </c>
      <c r="B152" s="1792" t="s">
        <v>273</v>
      </c>
      <c r="C152" s="491">
        <f t="shared" si="138"/>
        <v>0</v>
      </c>
      <c r="D152" s="590">
        <f t="shared" si="139"/>
        <v>0</v>
      </c>
      <c r="E152" s="591">
        <f t="shared" si="139"/>
        <v>0</v>
      </c>
      <c r="F152" s="460"/>
      <c r="G152" s="463"/>
      <c r="H152" s="463"/>
      <c r="I152" s="463"/>
      <c r="J152" s="463"/>
      <c r="K152" s="463"/>
      <c r="L152" s="463"/>
      <c r="M152" s="463"/>
      <c r="N152" s="463"/>
      <c r="O152" s="463"/>
      <c r="P152" s="463"/>
      <c r="Q152" s="463"/>
      <c r="R152" s="463"/>
      <c r="S152" s="463"/>
      <c r="T152" s="463"/>
      <c r="U152" s="463"/>
      <c r="V152" s="463"/>
      <c r="W152" s="463"/>
      <c r="X152" s="463"/>
      <c r="Y152" s="463"/>
      <c r="Z152" s="463"/>
      <c r="AA152" s="463"/>
      <c r="AB152" s="463"/>
      <c r="AC152" s="463"/>
      <c r="AD152" s="463"/>
      <c r="AE152" s="463"/>
      <c r="AF152" s="463"/>
      <c r="AG152" s="463"/>
      <c r="AH152" s="463"/>
      <c r="AI152" s="463"/>
      <c r="AJ152" s="463"/>
      <c r="AK152" s="463"/>
      <c r="AL152" s="463"/>
      <c r="AM152" s="463"/>
      <c r="AN152" s="463"/>
      <c r="AO152" s="463"/>
      <c r="AP152" s="463"/>
      <c r="AQ152" s="459"/>
      <c r="AR152" s="462"/>
      <c r="AS152" s="459"/>
      <c r="AT152" s="457"/>
      <c r="AU152" s="458"/>
      <c r="AV152" s="541" t="str">
        <f t="shared" si="140"/>
        <v/>
      </c>
      <c r="AW152" s="350"/>
      <c r="AX152" s="350"/>
      <c r="AY152" s="350"/>
      <c r="AZ152" s="350"/>
      <c r="BR152" s="346"/>
      <c r="BS152" s="346"/>
      <c r="BT152" s="346"/>
      <c r="BU152" s="346"/>
      <c r="CA152" s="290"/>
      <c r="CB152" s="383" t="str">
        <f t="shared" si="141"/>
        <v/>
      </c>
      <c r="CC152" s="383" t="str">
        <f t="shared" si="142"/>
        <v/>
      </c>
      <c r="CD152" s="383" t="str">
        <f t="shared" si="143"/>
        <v/>
      </c>
      <c r="CE152" s="383" t="str">
        <f t="shared" si="144"/>
        <v/>
      </c>
      <c r="CF152" s="290"/>
      <c r="CG152" s="290"/>
      <c r="CH152" s="290"/>
      <c r="CI152" s="290"/>
      <c r="CJ152" s="290"/>
      <c r="CK152" s="290"/>
      <c r="CL152" s="355"/>
      <c r="CM152" s="355"/>
      <c r="CN152" s="355"/>
      <c r="CO152" s="355"/>
      <c r="CP152" s="355"/>
      <c r="CQ152" s="355"/>
      <c r="CR152" s="355"/>
      <c r="CS152" s="355"/>
      <c r="CT152" s="355"/>
      <c r="CU152" s="355"/>
      <c r="CV152" s="355"/>
      <c r="CW152" s="355"/>
      <c r="CX152" s="355"/>
      <c r="CY152" s="355"/>
      <c r="CZ152" s="355"/>
      <c r="DA152" s="355"/>
      <c r="DB152" s="142"/>
      <c r="DC152" s="142"/>
      <c r="DD152" s="142"/>
      <c r="DE152" s="142"/>
      <c r="DF152" s="142">
        <f t="shared" si="145"/>
        <v>0</v>
      </c>
      <c r="DG152" s="142">
        <f t="shared" si="145"/>
        <v>0</v>
      </c>
      <c r="DH152" s="142">
        <f t="shared" si="146"/>
        <v>0</v>
      </c>
      <c r="DI152" s="142">
        <f t="shared" si="146"/>
        <v>0</v>
      </c>
      <c r="DJ152" s="142"/>
      <c r="DK152" s="142"/>
      <c r="DL152" s="142"/>
      <c r="DM152" s="142"/>
      <c r="DN152" s="142"/>
      <c r="DO152" s="142"/>
      <c r="DP152" s="142"/>
      <c r="DQ152" s="142"/>
      <c r="DR152" s="142"/>
      <c r="DS152" s="142"/>
      <c r="DT152" s="142"/>
      <c r="DU152" s="142"/>
      <c r="DV152" s="142"/>
    </row>
    <row r="153" spans="1:126" s="602" customFormat="1" ht="16.5" customHeight="1">
      <c r="A153" s="1791" t="s">
        <v>274</v>
      </c>
      <c r="B153" s="1792" t="s">
        <v>274</v>
      </c>
      <c r="C153" s="575">
        <f t="shared" si="138"/>
        <v>0</v>
      </c>
      <c r="D153" s="592">
        <f t="shared" si="139"/>
        <v>0</v>
      </c>
      <c r="E153" s="593">
        <f t="shared" si="139"/>
        <v>0</v>
      </c>
      <c r="F153" s="594"/>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595"/>
      <c r="AM153" s="595"/>
      <c r="AN153" s="595"/>
      <c r="AO153" s="595"/>
      <c r="AP153" s="595"/>
      <c r="AQ153" s="596"/>
      <c r="AR153" s="597"/>
      <c r="AS153" s="596"/>
      <c r="AT153" s="598"/>
      <c r="AU153" s="599"/>
      <c r="AV153" s="541" t="str">
        <f t="shared" si="140"/>
        <v/>
      </c>
      <c r="AW153" s="600"/>
      <c r="AX153" s="600"/>
      <c r="AY153" s="600"/>
      <c r="AZ153" s="600"/>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CA153" s="603"/>
      <c r="CB153" s="383" t="str">
        <f t="shared" si="141"/>
        <v/>
      </c>
      <c r="CC153" s="383" t="str">
        <f t="shared" si="142"/>
        <v/>
      </c>
      <c r="CD153" s="383" t="str">
        <f t="shared" si="143"/>
        <v/>
      </c>
      <c r="CE153" s="383" t="str">
        <f t="shared" si="144"/>
        <v/>
      </c>
      <c r="CF153" s="603"/>
      <c r="CG153" s="603"/>
      <c r="CH153" s="603"/>
      <c r="CI153" s="603"/>
      <c r="CJ153" s="603"/>
      <c r="CK153" s="603"/>
      <c r="CL153" s="604"/>
      <c r="CM153" s="604"/>
      <c r="CN153" s="604"/>
      <c r="CO153" s="604"/>
      <c r="CP153" s="604"/>
      <c r="CQ153" s="604"/>
      <c r="CR153" s="604"/>
      <c r="CS153" s="604"/>
      <c r="CT153" s="604"/>
      <c r="CU153" s="604"/>
      <c r="CV153" s="604"/>
      <c r="CW153" s="604"/>
      <c r="CX153" s="604"/>
      <c r="CY153" s="604"/>
      <c r="CZ153" s="604"/>
      <c r="DA153" s="604"/>
      <c r="DB153" s="142"/>
      <c r="DC153" s="142"/>
      <c r="DD153" s="142"/>
      <c r="DE153" s="142"/>
      <c r="DF153" s="142">
        <f t="shared" si="145"/>
        <v>0</v>
      </c>
      <c r="DG153" s="142">
        <f t="shared" si="145"/>
        <v>0</v>
      </c>
      <c r="DH153" s="142">
        <f t="shared" si="146"/>
        <v>0</v>
      </c>
      <c r="DI153" s="142">
        <f t="shared" si="146"/>
        <v>0</v>
      </c>
      <c r="DJ153" s="605"/>
      <c r="DK153" s="605"/>
      <c r="DL153" s="605"/>
      <c r="DM153" s="605"/>
      <c r="DN153" s="605"/>
      <c r="DO153" s="605"/>
      <c r="DP153" s="605"/>
      <c r="DQ153" s="605"/>
      <c r="DR153" s="605"/>
      <c r="DS153" s="605"/>
      <c r="DT153" s="605"/>
      <c r="DU153" s="605"/>
      <c r="DV153" s="605"/>
    </row>
    <row r="154" spans="1:126" ht="24.75" customHeight="1">
      <c r="A154" s="1791" t="s">
        <v>275</v>
      </c>
      <c r="B154" s="1792" t="s">
        <v>275</v>
      </c>
      <c r="C154" s="491">
        <f t="shared" si="138"/>
        <v>0</v>
      </c>
      <c r="D154" s="590">
        <f t="shared" si="139"/>
        <v>0</v>
      </c>
      <c r="E154" s="591">
        <f t="shared" si="139"/>
        <v>0</v>
      </c>
      <c r="F154" s="460"/>
      <c r="G154" s="463"/>
      <c r="H154" s="463"/>
      <c r="I154" s="463"/>
      <c r="J154" s="463"/>
      <c r="K154" s="463"/>
      <c r="L154" s="463"/>
      <c r="M154" s="463"/>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3"/>
      <c r="AI154" s="463"/>
      <c r="AJ154" s="463"/>
      <c r="AK154" s="463"/>
      <c r="AL154" s="463"/>
      <c r="AM154" s="463"/>
      <c r="AN154" s="463"/>
      <c r="AO154" s="463"/>
      <c r="AP154" s="463"/>
      <c r="AQ154" s="459"/>
      <c r="AR154" s="462"/>
      <c r="AS154" s="459"/>
      <c r="AT154" s="457"/>
      <c r="AU154" s="458"/>
      <c r="AV154" s="541" t="str">
        <f t="shared" si="140"/>
        <v/>
      </c>
      <c r="AW154" s="350"/>
      <c r="AX154" s="350"/>
      <c r="AY154" s="350"/>
      <c r="AZ154" s="350"/>
      <c r="BR154" s="346"/>
      <c r="BS154" s="346"/>
      <c r="BT154" s="346"/>
      <c r="BU154" s="346"/>
      <c r="CA154" s="290"/>
      <c r="CB154" s="383" t="str">
        <f t="shared" si="141"/>
        <v/>
      </c>
      <c r="CC154" s="383" t="str">
        <f t="shared" si="142"/>
        <v/>
      </c>
      <c r="CD154" s="383" t="str">
        <f t="shared" si="143"/>
        <v/>
      </c>
      <c r="CE154" s="383" t="str">
        <f t="shared" si="144"/>
        <v/>
      </c>
      <c r="CF154" s="290"/>
      <c r="CG154" s="290"/>
      <c r="CH154" s="290"/>
      <c r="CI154" s="290"/>
      <c r="CJ154" s="290"/>
      <c r="CK154" s="290"/>
      <c r="CL154" s="355"/>
      <c r="CM154" s="355"/>
      <c r="CN154" s="355"/>
      <c r="CO154" s="355"/>
      <c r="CP154" s="355"/>
      <c r="CQ154" s="355"/>
      <c r="CR154" s="355"/>
      <c r="CS154" s="355"/>
      <c r="CT154" s="355"/>
      <c r="CU154" s="355"/>
      <c r="CV154" s="355"/>
      <c r="CW154" s="355"/>
      <c r="CX154" s="355"/>
      <c r="CY154" s="355"/>
      <c r="CZ154" s="355"/>
      <c r="DA154" s="355"/>
      <c r="DB154" s="142"/>
      <c r="DC154" s="142"/>
      <c r="DD154" s="142"/>
      <c r="DE154" s="142"/>
      <c r="DF154" s="142">
        <f t="shared" si="145"/>
        <v>0</v>
      </c>
      <c r="DG154" s="142">
        <f t="shared" si="145"/>
        <v>0</v>
      </c>
      <c r="DH154" s="142">
        <f t="shared" si="146"/>
        <v>0</v>
      </c>
      <c r="DI154" s="142">
        <f t="shared" si="146"/>
        <v>0</v>
      </c>
      <c r="DJ154" s="142"/>
      <c r="DK154" s="142"/>
      <c r="DL154" s="142"/>
      <c r="DM154" s="142"/>
      <c r="DN154" s="142"/>
      <c r="DO154" s="142"/>
      <c r="DP154" s="142"/>
      <c r="DQ154" s="142"/>
      <c r="DR154" s="142"/>
      <c r="DS154" s="142"/>
      <c r="DT154" s="142"/>
      <c r="DU154" s="142"/>
      <c r="DV154" s="142"/>
    </row>
    <row r="155" spans="1:126" s="602" customFormat="1" ht="16.5" customHeight="1">
      <c r="A155" s="1791" t="s">
        <v>276</v>
      </c>
      <c r="B155" s="1792" t="s">
        <v>348</v>
      </c>
      <c r="C155" s="575">
        <f t="shared" si="138"/>
        <v>0</v>
      </c>
      <c r="D155" s="592">
        <f t="shared" si="139"/>
        <v>0</v>
      </c>
      <c r="E155" s="593">
        <f t="shared" si="139"/>
        <v>0</v>
      </c>
      <c r="F155" s="594"/>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c r="AN155" s="595"/>
      <c r="AO155" s="595"/>
      <c r="AP155" s="595"/>
      <c r="AQ155" s="596"/>
      <c r="AR155" s="597"/>
      <c r="AS155" s="596"/>
      <c r="AT155" s="598"/>
      <c r="AU155" s="599"/>
      <c r="AV155" s="541" t="str">
        <f t="shared" si="140"/>
        <v/>
      </c>
      <c r="AW155" s="600"/>
      <c r="AX155" s="600"/>
      <c r="AY155" s="600"/>
      <c r="AZ155" s="600"/>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CA155" s="603"/>
      <c r="CB155" s="383" t="str">
        <f t="shared" si="141"/>
        <v/>
      </c>
      <c r="CC155" s="383" t="str">
        <f t="shared" si="142"/>
        <v/>
      </c>
      <c r="CD155" s="383" t="str">
        <f t="shared" si="143"/>
        <v/>
      </c>
      <c r="CE155" s="383" t="str">
        <f t="shared" si="144"/>
        <v/>
      </c>
      <c r="CF155" s="603"/>
      <c r="CG155" s="603"/>
      <c r="CH155" s="603"/>
      <c r="CI155" s="603"/>
      <c r="CJ155" s="603"/>
      <c r="CK155" s="603"/>
      <c r="CL155" s="604"/>
      <c r="CM155" s="604"/>
      <c r="CN155" s="604"/>
      <c r="CO155" s="604"/>
      <c r="CP155" s="604"/>
      <c r="CQ155" s="604"/>
      <c r="CR155" s="604"/>
      <c r="CS155" s="604"/>
      <c r="CT155" s="604"/>
      <c r="CU155" s="604"/>
      <c r="CV155" s="604"/>
      <c r="CW155" s="604"/>
      <c r="CX155" s="604"/>
      <c r="CY155" s="604"/>
      <c r="CZ155" s="604"/>
      <c r="DA155" s="604"/>
      <c r="DB155" s="142"/>
      <c r="DC155" s="142"/>
      <c r="DD155" s="142"/>
      <c r="DE155" s="142"/>
      <c r="DF155" s="142">
        <f t="shared" si="145"/>
        <v>0</v>
      </c>
      <c r="DG155" s="142">
        <f t="shared" si="145"/>
        <v>0</v>
      </c>
      <c r="DH155" s="142">
        <f t="shared" si="146"/>
        <v>0</v>
      </c>
      <c r="DI155" s="142">
        <f t="shared" si="146"/>
        <v>0</v>
      </c>
      <c r="DJ155" s="605"/>
      <c r="DK155" s="605"/>
      <c r="DL155" s="605"/>
      <c r="DM155" s="605"/>
      <c r="DN155" s="605"/>
      <c r="DO155" s="605"/>
      <c r="DP155" s="605"/>
      <c r="DQ155" s="605"/>
      <c r="DR155" s="605"/>
      <c r="DS155" s="605"/>
      <c r="DT155" s="605"/>
      <c r="DU155" s="605"/>
      <c r="DV155" s="605"/>
    </row>
    <row r="156" spans="1:126" ht="26.25" customHeight="1">
      <c r="A156" s="1791" t="s">
        <v>277</v>
      </c>
      <c r="B156" s="1792" t="s">
        <v>349</v>
      </c>
      <c r="C156" s="491">
        <f t="shared" si="138"/>
        <v>0</v>
      </c>
      <c r="D156" s="590">
        <f t="shared" si="139"/>
        <v>0</v>
      </c>
      <c r="E156" s="591">
        <f t="shared" si="139"/>
        <v>0</v>
      </c>
      <c r="F156" s="460"/>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Q156" s="459"/>
      <c r="AR156" s="462"/>
      <c r="AS156" s="459"/>
      <c r="AT156" s="457"/>
      <c r="AU156" s="458"/>
      <c r="AV156" s="541" t="str">
        <f t="shared" si="140"/>
        <v/>
      </c>
      <c r="AW156" s="350"/>
      <c r="AX156" s="350"/>
      <c r="AY156" s="350"/>
      <c r="AZ156" s="350"/>
      <c r="BR156" s="346"/>
      <c r="BS156" s="346"/>
      <c r="BT156" s="346"/>
      <c r="BU156" s="346"/>
      <c r="CA156" s="290"/>
      <c r="CB156" s="383" t="str">
        <f t="shared" si="141"/>
        <v/>
      </c>
      <c r="CC156" s="383" t="str">
        <f t="shared" si="142"/>
        <v/>
      </c>
      <c r="CD156" s="383" t="str">
        <f t="shared" si="143"/>
        <v/>
      </c>
      <c r="CE156" s="383" t="str">
        <f t="shared" si="144"/>
        <v/>
      </c>
      <c r="CF156" s="290"/>
      <c r="CG156" s="290"/>
      <c r="CH156" s="290"/>
      <c r="CI156" s="290"/>
      <c r="CJ156" s="290"/>
      <c r="CK156" s="290"/>
      <c r="CL156" s="355"/>
      <c r="CM156" s="355"/>
      <c r="CN156" s="355"/>
      <c r="CO156" s="355"/>
      <c r="CP156" s="355"/>
      <c r="CQ156" s="355"/>
      <c r="CR156" s="355"/>
      <c r="CS156" s="355"/>
      <c r="CT156" s="355"/>
      <c r="CU156" s="355"/>
      <c r="CV156" s="355"/>
      <c r="CW156" s="355"/>
      <c r="CX156" s="355"/>
      <c r="CY156" s="355"/>
      <c r="CZ156" s="355"/>
      <c r="DA156" s="355"/>
      <c r="DB156" s="142"/>
      <c r="DC156" s="142"/>
      <c r="DD156" s="142"/>
      <c r="DE156" s="142"/>
      <c r="DF156" s="142">
        <f t="shared" si="145"/>
        <v>0</v>
      </c>
      <c r="DG156" s="142">
        <f t="shared" si="145"/>
        <v>0</v>
      </c>
      <c r="DH156" s="142">
        <f t="shared" si="146"/>
        <v>0</v>
      </c>
      <c r="DI156" s="142">
        <f t="shared" si="146"/>
        <v>0</v>
      </c>
      <c r="DJ156" s="142"/>
      <c r="DK156" s="142"/>
      <c r="DL156" s="142"/>
      <c r="DM156" s="142"/>
      <c r="DN156" s="142"/>
      <c r="DO156" s="142"/>
      <c r="DP156" s="142"/>
      <c r="DQ156" s="142"/>
      <c r="DR156" s="142"/>
      <c r="DS156" s="142"/>
      <c r="DT156" s="142"/>
      <c r="DU156" s="142"/>
      <c r="DV156" s="142"/>
    </row>
    <row r="157" spans="1:126" ht="16.5" customHeight="1">
      <c r="A157" s="1791" t="s">
        <v>278</v>
      </c>
      <c r="B157" s="1792" t="s">
        <v>278</v>
      </c>
      <c r="C157" s="491">
        <f t="shared" si="138"/>
        <v>0</v>
      </c>
      <c r="D157" s="590">
        <f t="shared" si="139"/>
        <v>0</v>
      </c>
      <c r="E157" s="591">
        <f t="shared" si="139"/>
        <v>0</v>
      </c>
      <c r="F157" s="460"/>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c r="AI157" s="463"/>
      <c r="AJ157" s="463"/>
      <c r="AK157" s="463"/>
      <c r="AL157" s="463"/>
      <c r="AM157" s="463"/>
      <c r="AN157" s="463"/>
      <c r="AO157" s="463"/>
      <c r="AP157" s="463"/>
      <c r="AQ157" s="459"/>
      <c r="AR157" s="462"/>
      <c r="AS157" s="459"/>
      <c r="AT157" s="457"/>
      <c r="AU157" s="458"/>
      <c r="AV157" s="541" t="str">
        <f t="shared" si="140"/>
        <v/>
      </c>
      <c r="AW157" s="350"/>
      <c r="AX157" s="350"/>
      <c r="AY157" s="350"/>
      <c r="AZ157" s="350"/>
      <c r="BR157" s="346"/>
      <c r="BS157" s="346"/>
      <c r="BT157" s="346"/>
      <c r="BU157" s="346"/>
      <c r="CA157" s="290"/>
      <c r="CB157" s="383" t="str">
        <f t="shared" si="141"/>
        <v/>
      </c>
      <c r="CC157" s="383" t="str">
        <f t="shared" si="142"/>
        <v/>
      </c>
      <c r="CD157" s="383" t="str">
        <f t="shared" si="143"/>
        <v/>
      </c>
      <c r="CE157" s="383" t="str">
        <f t="shared" si="144"/>
        <v/>
      </c>
      <c r="CF157" s="290"/>
      <c r="CG157" s="290"/>
      <c r="CH157" s="290"/>
      <c r="CI157" s="290"/>
      <c r="CJ157" s="290"/>
      <c r="CK157" s="290"/>
      <c r="CL157" s="355"/>
      <c r="CM157" s="355"/>
      <c r="CN157" s="355"/>
      <c r="CO157" s="355"/>
      <c r="CP157" s="355"/>
      <c r="CQ157" s="355"/>
      <c r="CR157" s="355"/>
      <c r="CS157" s="355"/>
      <c r="CT157" s="355"/>
      <c r="CU157" s="355"/>
      <c r="CV157" s="355"/>
      <c r="CW157" s="355"/>
      <c r="CX157" s="355"/>
      <c r="CY157" s="355"/>
      <c r="CZ157" s="355"/>
      <c r="DA157" s="355"/>
      <c r="DB157" s="142"/>
      <c r="DC157" s="142"/>
      <c r="DD157" s="142"/>
      <c r="DE157" s="142"/>
      <c r="DF157" s="142">
        <f t="shared" si="145"/>
        <v>0</v>
      </c>
      <c r="DG157" s="142">
        <f t="shared" si="145"/>
        <v>0</v>
      </c>
      <c r="DH157" s="142">
        <f t="shared" si="146"/>
        <v>0</v>
      </c>
      <c r="DI157" s="142">
        <f t="shared" si="146"/>
        <v>0</v>
      </c>
      <c r="DJ157" s="142"/>
      <c r="DK157" s="142"/>
      <c r="DL157" s="142"/>
      <c r="DM157" s="142"/>
      <c r="DN157" s="142"/>
      <c r="DO157" s="142"/>
      <c r="DP157" s="142"/>
      <c r="DQ157" s="142"/>
      <c r="DR157" s="142"/>
      <c r="DS157" s="142"/>
      <c r="DT157" s="142"/>
      <c r="DU157" s="142"/>
      <c r="DV157" s="142"/>
    </row>
    <row r="158" spans="1:126" ht="15.75" customHeight="1">
      <c r="A158" s="1791" t="s">
        <v>279</v>
      </c>
      <c r="B158" s="1792" t="s">
        <v>279</v>
      </c>
      <c r="C158" s="491">
        <f t="shared" si="138"/>
        <v>0</v>
      </c>
      <c r="D158" s="590">
        <f t="shared" si="139"/>
        <v>0</v>
      </c>
      <c r="E158" s="591">
        <f t="shared" si="139"/>
        <v>0</v>
      </c>
      <c r="F158" s="460"/>
      <c r="G158" s="463"/>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3"/>
      <c r="AK158" s="463"/>
      <c r="AL158" s="463"/>
      <c r="AM158" s="463"/>
      <c r="AN158" s="463"/>
      <c r="AO158" s="463"/>
      <c r="AP158" s="463"/>
      <c r="AQ158" s="459"/>
      <c r="AR158" s="462"/>
      <c r="AS158" s="459"/>
      <c r="AT158" s="457"/>
      <c r="AU158" s="458"/>
      <c r="AV158" s="541" t="str">
        <f t="shared" si="140"/>
        <v/>
      </c>
      <c r="CA158" s="290"/>
      <c r="CB158" s="383" t="str">
        <f t="shared" si="141"/>
        <v/>
      </c>
      <c r="CC158" s="383" t="str">
        <f t="shared" si="142"/>
        <v/>
      </c>
      <c r="CD158" s="383" t="str">
        <f t="shared" si="143"/>
        <v/>
      </c>
      <c r="CE158" s="383" t="str">
        <f t="shared" si="144"/>
        <v/>
      </c>
      <c r="CF158" s="290"/>
      <c r="CG158" s="290"/>
      <c r="CH158" s="290"/>
      <c r="CI158" s="290"/>
      <c r="CJ158" s="290"/>
      <c r="CK158" s="290"/>
      <c r="CL158" s="355"/>
      <c r="CM158" s="355"/>
      <c r="CN158" s="355"/>
      <c r="CO158" s="355"/>
      <c r="CP158" s="355"/>
      <c r="CQ158" s="355"/>
      <c r="CR158" s="355"/>
      <c r="CS158" s="355"/>
      <c r="CT158" s="355"/>
      <c r="CU158" s="355"/>
      <c r="CV158" s="355"/>
      <c r="CW158" s="355"/>
      <c r="CX158" s="355"/>
      <c r="CY158" s="355"/>
      <c r="CZ158" s="355"/>
      <c r="DA158" s="355"/>
      <c r="DB158" s="142"/>
      <c r="DC158" s="142"/>
      <c r="DD158" s="142"/>
      <c r="DE158" s="142"/>
      <c r="DF158" s="142">
        <f t="shared" si="145"/>
        <v>0</v>
      </c>
      <c r="DG158" s="142">
        <f t="shared" si="145"/>
        <v>0</v>
      </c>
      <c r="DH158" s="142">
        <f t="shared" si="146"/>
        <v>0</v>
      </c>
      <c r="DI158" s="142">
        <f t="shared" si="146"/>
        <v>0</v>
      </c>
      <c r="DJ158" s="290"/>
      <c r="DK158" s="290"/>
      <c r="DL158" s="142"/>
      <c r="DM158" s="142"/>
      <c r="DN158" s="142"/>
      <c r="DO158" s="142"/>
      <c r="DP158" s="142"/>
      <c r="DQ158" s="142"/>
      <c r="DR158" s="142"/>
      <c r="DS158" s="142"/>
      <c r="DT158" s="142"/>
      <c r="DU158" s="142"/>
      <c r="DV158" s="142"/>
    </row>
    <row r="159" spans="1:126" ht="16.5" customHeight="1">
      <c r="A159" s="1791" t="s">
        <v>280</v>
      </c>
      <c r="B159" s="1792" t="s">
        <v>280</v>
      </c>
      <c r="C159" s="491">
        <f t="shared" si="138"/>
        <v>0</v>
      </c>
      <c r="D159" s="590">
        <f t="shared" si="139"/>
        <v>0</v>
      </c>
      <c r="E159" s="591">
        <f t="shared" si="139"/>
        <v>0</v>
      </c>
      <c r="F159" s="460"/>
      <c r="G159" s="463"/>
      <c r="H159" s="463"/>
      <c r="I159" s="463"/>
      <c r="J159" s="463"/>
      <c r="K159" s="463"/>
      <c r="L159" s="463"/>
      <c r="M159" s="463"/>
      <c r="N159" s="463"/>
      <c r="O159" s="463"/>
      <c r="P159" s="463"/>
      <c r="Q159" s="463"/>
      <c r="R159" s="463"/>
      <c r="S159" s="463"/>
      <c r="T159" s="463"/>
      <c r="U159" s="463"/>
      <c r="V159" s="463"/>
      <c r="W159" s="463"/>
      <c r="X159" s="463"/>
      <c r="Y159" s="463"/>
      <c r="Z159" s="463"/>
      <c r="AA159" s="463"/>
      <c r="AB159" s="463"/>
      <c r="AC159" s="463"/>
      <c r="AD159" s="463"/>
      <c r="AE159" s="463"/>
      <c r="AF159" s="463"/>
      <c r="AG159" s="463"/>
      <c r="AH159" s="463"/>
      <c r="AI159" s="463"/>
      <c r="AJ159" s="463"/>
      <c r="AK159" s="463"/>
      <c r="AL159" s="463"/>
      <c r="AM159" s="463"/>
      <c r="AN159" s="463"/>
      <c r="AO159" s="463"/>
      <c r="AP159" s="463"/>
      <c r="AQ159" s="459"/>
      <c r="AR159" s="462"/>
      <c r="AS159" s="459"/>
      <c r="AT159" s="457"/>
      <c r="AU159" s="458"/>
      <c r="AV159" s="541" t="str">
        <f t="shared" si="140"/>
        <v/>
      </c>
      <c r="AW159" s="350"/>
      <c r="AX159" s="350"/>
      <c r="AY159" s="350"/>
      <c r="AZ159" s="350"/>
      <c r="BR159" s="346"/>
      <c r="BS159" s="346"/>
      <c r="BT159" s="346"/>
      <c r="BU159" s="346"/>
      <c r="CA159" s="290"/>
      <c r="CB159" s="383" t="str">
        <f t="shared" si="141"/>
        <v/>
      </c>
      <c r="CC159" s="383" t="str">
        <f t="shared" si="142"/>
        <v/>
      </c>
      <c r="CD159" s="383" t="str">
        <f t="shared" si="143"/>
        <v/>
      </c>
      <c r="CE159" s="383" t="str">
        <f t="shared" si="144"/>
        <v/>
      </c>
      <c r="CF159" s="290"/>
      <c r="CG159" s="290"/>
      <c r="CH159" s="290"/>
      <c r="CI159" s="290"/>
      <c r="CJ159" s="290"/>
      <c r="CK159" s="290"/>
      <c r="CL159" s="355"/>
      <c r="CM159" s="355"/>
      <c r="CN159" s="355"/>
      <c r="CO159" s="355"/>
      <c r="CP159" s="355"/>
      <c r="CQ159" s="355"/>
      <c r="CR159" s="355"/>
      <c r="CS159" s="355"/>
      <c r="CT159" s="355"/>
      <c r="CU159" s="355"/>
      <c r="CV159" s="355"/>
      <c r="CW159" s="355"/>
      <c r="CX159" s="355"/>
      <c r="CY159" s="355"/>
      <c r="CZ159" s="355"/>
      <c r="DA159" s="355"/>
      <c r="DB159" s="142"/>
      <c r="DC159" s="142"/>
      <c r="DD159" s="142"/>
      <c r="DE159" s="142"/>
      <c r="DF159" s="142">
        <f t="shared" si="145"/>
        <v>0</v>
      </c>
      <c r="DG159" s="142">
        <f t="shared" si="145"/>
        <v>0</v>
      </c>
      <c r="DH159" s="142">
        <f t="shared" si="146"/>
        <v>0</v>
      </c>
      <c r="DI159" s="142">
        <f t="shared" si="146"/>
        <v>0</v>
      </c>
      <c r="DJ159" s="142"/>
      <c r="DK159" s="142"/>
      <c r="DL159" s="142"/>
      <c r="DM159" s="142"/>
      <c r="DN159" s="142"/>
      <c r="DO159" s="142"/>
      <c r="DP159" s="142"/>
      <c r="DQ159" s="142"/>
      <c r="DR159" s="142"/>
      <c r="DS159" s="142"/>
      <c r="DT159" s="142"/>
      <c r="DU159" s="142"/>
      <c r="DV159" s="142"/>
    </row>
    <row r="160" spans="1:126" ht="15.75" customHeight="1">
      <c r="A160" s="1791" t="s">
        <v>281</v>
      </c>
      <c r="B160" s="1792" t="s">
        <v>281</v>
      </c>
      <c r="C160" s="491">
        <f t="shared" si="138"/>
        <v>0</v>
      </c>
      <c r="D160" s="590">
        <f t="shared" si="139"/>
        <v>0</v>
      </c>
      <c r="E160" s="591">
        <f t="shared" si="139"/>
        <v>0</v>
      </c>
      <c r="F160" s="460"/>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63"/>
      <c r="AF160" s="463"/>
      <c r="AG160" s="463"/>
      <c r="AH160" s="463"/>
      <c r="AI160" s="463"/>
      <c r="AJ160" s="463"/>
      <c r="AK160" s="463"/>
      <c r="AL160" s="463"/>
      <c r="AM160" s="463"/>
      <c r="AN160" s="463"/>
      <c r="AO160" s="463"/>
      <c r="AP160" s="463"/>
      <c r="AQ160" s="459"/>
      <c r="AR160" s="462"/>
      <c r="AS160" s="459"/>
      <c r="AT160" s="457"/>
      <c r="AU160" s="458"/>
      <c r="AV160" s="541" t="str">
        <f t="shared" si="140"/>
        <v/>
      </c>
      <c r="CA160" s="290"/>
      <c r="CB160" s="383" t="str">
        <f t="shared" si="141"/>
        <v/>
      </c>
      <c r="CC160" s="383" t="str">
        <f t="shared" si="142"/>
        <v/>
      </c>
      <c r="CD160" s="383" t="str">
        <f t="shared" si="143"/>
        <v/>
      </c>
      <c r="CE160" s="383" t="str">
        <f t="shared" si="144"/>
        <v/>
      </c>
      <c r="CF160" s="290"/>
      <c r="CG160" s="290"/>
      <c r="CH160" s="290"/>
      <c r="CI160" s="290"/>
      <c r="CJ160" s="290"/>
      <c r="CK160" s="290"/>
      <c r="CL160" s="355"/>
      <c r="CM160" s="355"/>
      <c r="CN160" s="355"/>
      <c r="CO160" s="355"/>
      <c r="CP160" s="355"/>
      <c r="CQ160" s="355"/>
      <c r="CR160" s="355"/>
      <c r="CS160" s="355"/>
      <c r="CT160" s="355"/>
      <c r="CU160" s="355"/>
      <c r="CV160" s="355"/>
      <c r="CW160" s="355"/>
      <c r="CX160" s="355"/>
      <c r="CY160" s="355"/>
      <c r="CZ160" s="355"/>
      <c r="DA160" s="355"/>
      <c r="DB160" s="142"/>
      <c r="DC160" s="142"/>
      <c r="DD160" s="142"/>
      <c r="DE160" s="142"/>
      <c r="DF160" s="142">
        <f t="shared" si="145"/>
        <v>0</v>
      </c>
      <c r="DG160" s="142">
        <f t="shared" si="145"/>
        <v>0</v>
      </c>
      <c r="DH160" s="142">
        <f t="shared" si="146"/>
        <v>0</v>
      </c>
      <c r="DI160" s="142">
        <f t="shared" si="146"/>
        <v>0</v>
      </c>
      <c r="DJ160" s="290"/>
      <c r="DK160" s="290"/>
      <c r="DL160" s="142"/>
      <c r="DM160" s="142"/>
      <c r="DN160" s="142"/>
      <c r="DO160" s="142"/>
      <c r="DP160" s="142"/>
      <c r="DQ160" s="142"/>
      <c r="DR160" s="142"/>
      <c r="DS160" s="142"/>
      <c r="DT160" s="142"/>
      <c r="DU160" s="142"/>
      <c r="DV160" s="142"/>
    </row>
    <row r="161" spans="1:126" s="602" customFormat="1" ht="16.5" customHeight="1">
      <c r="A161" s="1791" t="s">
        <v>282</v>
      </c>
      <c r="B161" s="1792" t="s">
        <v>282</v>
      </c>
      <c r="C161" s="575">
        <f t="shared" si="138"/>
        <v>0</v>
      </c>
      <c r="D161" s="592">
        <f t="shared" si="139"/>
        <v>0</v>
      </c>
      <c r="E161" s="593">
        <f t="shared" si="139"/>
        <v>0</v>
      </c>
      <c r="F161" s="594"/>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5"/>
      <c r="AL161" s="595"/>
      <c r="AM161" s="595"/>
      <c r="AN161" s="595"/>
      <c r="AO161" s="595"/>
      <c r="AP161" s="595"/>
      <c r="AQ161" s="596"/>
      <c r="AR161" s="597"/>
      <c r="AS161" s="596"/>
      <c r="AT161" s="598"/>
      <c r="AU161" s="599"/>
      <c r="AV161" s="541" t="str">
        <f t="shared" si="140"/>
        <v/>
      </c>
      <c r="AW161" s="600"/>
      <c r="AX161" s="600"/>
      <c r="AY161" s="600"/>
      <c r="AZ161" s="600"/>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CA161" s="603"/>
      <c r="CB161" s="383" t="str">
        <f t="shared" si="141"/>
        <v/>
      </c>
      <c r="CC161" s="383" t="str">
        <f t="shared" si="142"/>
        <v/>
      </c>
      <c r="CD161" s="383" t="str">
        <f t="shared" si="143"/>
        <v/>
      </c>
      <c r="CE161" s="383" t="str">
        <f t="shared" si="144"/>
        <v/>
      </c>
      <c r="CF161" s="603"/>
      <c r="CG161" s="603"/>
      <c r="CH161" s="603"/>
      <c r="CI161" s="603"/>
      <c r="CJ161" s="603"/>
      <c r="CK161" s="603"/>
      <c r="CL161" s="604"/>
      <c r="CM161" s="604"/>
      <c r="CN161" s="604"/>
      <c r="CO161" s="604"/>
      <c r="CP161" s="604"/>
      <c r="CQ161" s="604"/>
      <c r="CR161" s="604"/>
      <c r="CS161" s="604"/>
      <c r="CT161" s="604"/>
      <c r="CU161" s="604"/>
      <c r="CV161" s="604"/>
      <c r="CW161" s="604"/>
      <c r="CX161" s="604"/>
      <c r="CY161" s="604"/>
      <c r="CZ161" s="604"/>
      <c r="DA161" s="604"/>
      <c r="DB161" s="142"/>
      <c r="DC161" s="142"/>
      <c r="DD161" s="142"/>
      <c r="DE161" s="142"/>
      <c r="DF161" s="142">
        <f t="shared" si="145"/>
        <v>0</v>
      </c>
      <c r="DG161" s="142">
        <f t="shared" si="145"/>
        <v>0</v>
      </c>
      <c r="DH161" s="142">
        <f t="shared" si="146"/>
        <v>0</v>
      </c>
      <c r="DI161" s="142">
        <f t="shared" si="146"/>
        <v>0</v>
      </c>
      <c r="DJ161" s="605"/>
      <c r="DK161" s="605"/>
      <c r="DL161" s="605"/>
      <c r="DM161" s="605"/>
      <c r="DN161" s="605"/>
      <c r="DO161" s="605"/>
      <c r="DP161" s="605"/>
      <c r="DQ161" s="605"/>
      <c r="DR161" s="605"/>
      <c r="DS161" s="605"/>
      <c r="DT161" s="605"/>
      <c r="DU161" s="605"/>
      <c r="DV161" s="605"/>
    </row>
    <row r="162" spans="1:126" ht="16.5" customHeight="1">
      <c r="A162" s="1791" t="s">
        <v>283</v>
      </c>
      <c r="B162" s="1792" t="s">
        <v>283</v>
      </c>
      <c r="C162" s="575">
        <f t="shared" ref="C162:C189" si="147">SUM(D162:E162)</f>
        <v>0</v>
      </c>
      <c r="D162" s="590">
        <f t="shared" ref="D162:E189" si="148">+F162+H162+J162+L162+N162+P162+R162+T162+V162+X162+Z162+AB162+AD162+AF162+AH162+AN162+AP162+AJ162+AL162</f>
        <v>0</v>
      </c>
      <c r="E162" s="591">
        <f t="shared" si="148"/>
        <v>0</v>
      </c>
      <c r="F162" s="460"/>
      <c r="G162" s="463"/>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59"/>
      <c r="AR162" s="462"/>
      <c r="AS162" s="459"/>
      <c r="AT162" s="457"/>
      <c r="AU162" s="458"/>
      <c r="AV162" s="541" t="str">
        <f t="shared" si="140"/>
        <v/>
      </c>
      <c r="AW162" s="350"/>
      <c r="AX162" s="350"/>
      <c r="AY162" s="350"/>
      <c r="AZ162" s="350"/>
      <c r="BR162" s="346"/>
      <c r="BS162" s="346"/>
      <c r="BT162" s="346"/>
      <c r="BU162" s="346"/>
      <c r="CA162" s="290"/>
      <c r="CB162" s="383" t="str">
        <f t="shared" si="141"/>
        <v/>
      </c>
      <c r="CC162" s="383" t="str">
        <f t="shared" si="142"/>
        <v/>
      </c>
      <c r="CD162" s="383" t="str">
        <f t="shared" si="143"/>
        <v/>
      </c>
      <c r="CE162" s="383" t="str">
        <f t="shared" si="144"/>
        <v/>
      </c>
      <c r="CF162" s="290"/>
      <c r="CG162" s="290"/>
      <c r="CH162" s="290"/>
      <c r="CI162" s="290"/>
      <c r="CJ162" s="290"/>
      <c r="CK162" s="290"/>
      <c r="CL162" s="355"/>
      <c r="CM162" s="355"/>
      <c r="CN162" s="355"/>
      <c r="CO162" s="355"/>
      <c r="CP162" s="355"/>
      <c r="CQ162" s="355"/>
      <c r="CR162" s="355"/>
      <c r="CS162" s="355"/>
      <c r="CT162" s="355"/>
      <c r="CU162" s="355"/>
      <c r="CV162" s="355"/>
      <c r="CW162" s="355"/>
      <c r="CX162" s="355"/>
      <c r="CY162" s="355"/>
      <c r="CZ162" s="355"/>
      <c r="DA162" s="355"/>
      <c r="DB162" s="142"/>
      <c r="DC162" s="142"/>
      <c r="DD162" s="142"/>
      <c r="DE162" s="142"/>
      <c r="DF162" s="142">
        <f t="shared" si="145"/>
        <v>0</v>
      </c>
      <c r="DG162" s="142">
        <f t="shared" si="145"/>
        <v>0</v>
      </c>
      <c r="DH162" s="142">
        <f t="shared" si="146"/>
        <v>0</v>
      </c>
      <c r="DI162" s="142">
        <f t="shared" si="146"/>
        <v>0</v>
      </c>
      <c r="DJ162" s="142"/>
      <c r="DK162" s="142"/>
      <c r="DL162" s="142"/>
      <c r="DM162" s="142"/>
      <c r="DN162" s="142"/>
      <c r="DO162" s="142"/>
      <c r="DP162" s="142"/>
      <c r="DQ162" s="142"/>
      <c r="DR162" s="142"/>
      <c r="DS162" s="142"/>
      <c r="DT162" s="142"/>
      <c r="DU162" s="142"/>
      <c r="DV162" s="142"/>
    </row>
    <row r="163" spans="1:126" s="602" customFormat="1" ht="16.5" customHeight="1">
      <c r="A163" s="1791" t="s">
        <v>284</v>
      </c>
      <c r="B163" s="1792" t="s">
        <v>284</v>
      </c>
      <c r="C163" s="575">
        <f>SUM(D163:E163)</f>
        <v>0</v>
      </c>
      <c r="D163" s="592">
        <f t="shared" si="148"/>
        <v>0</v>
      </c>
      <c r="E163" s="593">
        <f t="shared" si="148"/>
        <v>0</v>
      </c>
      <c r="F163" s="594"/>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5"/>
      <c r="AL163" s="595"/>
      <c r="AM163" s="595"/>
      <c r="AN163" s="595"/>
      <c r="AO163" s="595"/>
      <c r="AP163" s="595"/>
      <c r="AQ163" s="596"/>
      <c r="AR163" s="597"/>
      <c r="AS163" s="596"/>
      <c r="AT163" s="598"/>
      <c r="AU163" s="599"/>
      <c r="AV163" s="541" t="str">
        <f t="shared" si="140"/>
        <v/>
      </c>
      <c r="AW163" s="600"/>
      <c r="AX163" s="600"/>
      <c r="AY163" s="600"/>
      <c r="AZ163" s="600"/>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CA163" s="603"/>
      <c r="CB163" s="383" t="str">
        <f t="shared" si="141"/>
        <v/>
      </c>
      <c r="CC163" s="383" t="str">
        <f t="shared" si="142"/>
        <v/>
      </c>
      <c r="CD163" s="383" t="str">
        <f t="shared" si="143"/>
        <v/>
      </c>
      <c r="CE163" s="383" t="str">
        <f t="shared" si="144"/>
        <v/>
      </c>
      <c r="CF163" s="603"/>
      <c r="CG163" s="603"/>
      <c r="CH163" s="603"/>
      <c r="CI163" s="603"/>
      <c r="CJ163" s="603"/>
      <c r="CK163" s="603"/>
      <c r="CL163" s="604"/>
      <c r="CM163" s="604"/>
      <c r="CN163" s="604"/>
      <c r="CO163" s="604"/>
      <c r="CP163" s="604"/>
      <c r="CQ163" s="604"/>
      <c r="CR163" s="604"/>
      <c r="CS163" s="604"/>
      <c r="CT163" s="604"/>
      <c r="CU163" s="604"/>
      <c r="CV163" s="604"/>
      <c r="CW163" s="604"/>
      <c r="CX163" s="604"/>
      <c r="CY163" s="604"/>
      <c r="CZ163" s="604"/>
      <c r="DA163" s="604"/>
      <c r="DB163" s="142"/>
      <c r="DC163" s="142"/>
      <c r="DD163" s="142"/>
      <c r="DE163" s="142"/>
      <c r="DF163" s="142">
        <f t="shared" si="145"/>
        <v>0</v>
      </c>
      <c r="DG163" s="142">
        <f t="shared" si="145"/>
        <v>0</v>
      </c>
      <c r="DH163" s="142">
        <f t="shared" si="146"/>
        <v>0</v>
      </c>
      <c r="DI163" s="142">
        <f t="shared" si="146"/>
        <v>0</v>
      </c>
      <c r="DJ163" s="605"/>
      <c r="DK163" s="605"/>
      <c r="DL163" s="605"/>
      <c r="DM163" s="605"/>
      <c r="DN163" s="605"/>
      <c r="DO163" s="605"/>
      <c r="DP163" s="605"/>
      <c r="DQ163" s="605"/>
      <c r="DR163" s="605"/>
      <c r="DS163" s="605"/>
      <c r="DT163" s="605"/>
      <c r="DU163" s="605"/>
      <c r="DV163" s="605"/>
    </row>
    <row r="164" spans="1:126" ht="15" customHeight="1">
      <c r="A164" s="1791" t="s">
        <v>285</v>
      </c>
      <c r="B164" s="1792" t="s">
        <v>285</v>
      </c>
      <c r="C164" s="491">
        <f>SUM(D164:E164)</f>
        <v>0</v>
      </c>
      <c r="D164" s="590">
        <f t="shared" si="148"/>
        <v>0</v>
      </c>
      <c r="E164" s="591">
        <f t="shared" si="148"/>
        <v>0</v>
      </c>
      <c r="F164" s="460"/>
      <c r="G164" s="463"/>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59"/>
      <c r="AR164" s="462"/>
      <c r="AS164" s="459"/>
      <c r="AT164" s="457"/>
      <c r="AU164" s="458"/>
      <c r="AV164" s="541" t="str">
        <f t="shared" si="140"/>
        <v/>
      </c>
      <c r="CA164" s="290"/>
      <c r="CB164" s="383" t="str">
        <f t="shared" si="141"/>
        <v/>
      </c>
      <c r="CC164" s="383" t="str">
        <f t="shared" si="142"/>
        <v/>
      </c>
      <c r="CD164" s="383" t="str">
        <f t="shared" si="143"/>
        <v/>
      </c>
      <c r="CE164" s="383" t="str">
        <f t="shared" si="144"/>
        <v/>
      </c>
      <c r="CF164" s="290"/>
      <c r="CG164" s="290"/>
      <c r="CH164" s="290"/>
      <c r="CI164" s="290"/>
      <c r="CJ164" s="290"/>
      <c r="CK164" s="290"/>
      <c r="CL164" s="355"/>
      <c r="CM164" s="355"/>
      <c r="CN164" s="355"/>
      <c r="CO164" s="355"/>
      <c r="CP164" s="355"/>
      <c r="CQ164" s="355"/>
      <c r="CR164" s="355"/>
      <c r="CS164" s="355"/>
      <c r="CT164" s="355"/>
      <c r="CU164" s="355"/>
      <c r="CV164" s="355"/>
      <c r="CW164" s="355"/>
      <c r="CX164" s="355"/>
      <c r="CY164" s="355"/>
      <c r="CZ164" s="355"/>
      <c r="DA164" s="355"/>
      <c r="DB164" s="142"/>
      <c r="DC164" s="142"/>
      <c r="DD164" s="142"/>
      <c r="DE164" s="142"/>
      <c r="DF164" s="142">
        <f t="shared" si="145"/>
        <v>0</v>
      </c>
      <c r="DG164" s="142">
        <f t="shared" si="145"/>
        <v>0</v>
      </c>
      <c r="DH164" s="142">
        <f t="shared" si="146"/>
        <v>0</v>
      </c>
      <c r="DI164" s="142">
        <f t="shared" si="146"/>
        <v>0</v>
      </c>
      <c r="DJ164" s="290"/>
      <c r="DK164" s="290"/>
      <c r="DL164" s="142"/>
      <c r="DM164" s="142"/>
      <c r="DN164" s="142"/>
      <c r="DO164" s="142"/>
      <c r="DP164" s="142"/>
      <c r="DQ164" s="142"/>
      <c r="DR164" s="142"/>
      <c r="DS164" s="142"/>
      <c r="DT164" s="142"/>
      <c r="DU164" s="142"/>
      <c r="DV164" s="142"/>
    </row>
    <row r="165" spans="1:126" ht="16.5" customHeight="1">
      <c r="A165" s="1791" t="s">
        <v>286</v>
      </c>
      <c r="B165" s="1792" t="s">
        <v>286</v>
      </c>
      <c r="C165" s="491">
        <f>SUM(D165:E165)</f>
        <v>0</v>
      </c>
      <c r="D165" s="590">
        <f t="shared" si="148"/>
        <v>0</v>
      </c>
      <c r="E165" s="591">
        <f t="shared" si="148"/>
        <v>0</v>
      </c>
      <c r="F165" s="460"/>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463"/>
      <c r="AN165" s="463"/>
      <c r="AO165" s="463"/>
      <c r="AP165" s="463"/>
      <c r="AQ165" s="459"/>
      <c r="AR165" s="462"/>
      <c r="AS165" s="459"/>
      <c r="AT165" s="457"/>
      <c r="AU165" s="458"/>
      <c r="AV165" s="541" t="str">
        <f t="shared" si="140"/>
        <v/>
      </c>
      <c r="AW165" s="350"/>
      <c r="AX165" s="350"/>
      <c r="AY165" s="350"/>
      <c r="AZ165" s="350"/>
      <c r="BR165" s="346"/>
      <c r="BS165" s="346"/>
      <c r="BT165" s="346"/>
      <c r="BU165" s="346"/>
      <c r="CA165" s="290"/>
      <c r="CB165" s="383" t="str">
        <f t="shared" si="141"/>
        <v/>
      </c>
      <c r="CC165" s="383" t="str">
        <f t="shared" si="142"/>
        <v/>
      </c>
      <c r="CD165" s="383" t="str">
        <f t="shared" si="143"/>
        <v/>
      </c>
      <c r="CE165" s="383" t="str">
        <f t="shared" si="144"/>
        <v/>
      </c>
      <c r="CF165" s="290"/>
      <c r="CG165" s="290"/>
      <c r="CH165" s="290"/>
      <c r="CI165" s="290"/>
      <c r="CJ165" s="290"/>
      <c r="CK165" s="290"/>
      <c r="CL165" s="355"/>
      <c r="CM165" s="355"/>
      <c r="CN165" s="355"/>
      <c r="CO165" s="355"/>
      <c r="CP165" s="355"/>
      <c r="CQ165" s="355"/>
      <c r="CR165" s="355"/>
      <c r="CS165" s="355"/>
      <c r="CT165" s="355"/>
      <c r="CU165" s="355"/>
      <c r="CV165" s="355"/>
      <c r="CW165" s="355"/>
      <c r="CX165" s="355"/>
      <c r="CY165" s="355"/>
      <c r="CZ165" s="355"/>
      <c r="DA165" s="355"/>
      <c r="DB165" s="142"/>
      <c r="DC165" s="142"/>
      <c r="DD165" s="142"/>
      <c r="DE165" s="142"/>
      <c r="DF165" s="142">
        <f t="shared" si="145"/>
        <v>0</v>
      </c>
      <c r="DG165" s="142">
        <f t="shared" si="145"/>
        <v>0</v>
      </c>
      <c r="DH165" s="142">
        <f t="shared" si="146"/>
        <v>0</v>
      </c>
      <c r="DI165" s="142">
        <f t="shared" si="146"/>
        <v>0</v>
      </c>
      <c r="DJ165" s="142"/>
      <c r="DK165" s="142"/>
      <c r="DL165" s="142"/>
      <c r="DM165" s="142"/>
      <c r="DN165" s="142"/>
      <c r="DO165" s="142"/>
      <c r="DP165" s="142"/>
      <c r="DQ165" s="142"/>
      <c r="DR165" s="142"/>
      <c r="DS165" s="142"/>
      <c r="DT165" s="142"/>
      <c r="DU165" s="142"/>
      <c r="DV165" s="142"/>
    </row>
    <row r="166" spans="1:126" s="602" customFormat="1" ht="16.5" customHeight="1">
      <c r="A166" s="1791" t="s">
        <v>287</v>
      </c>
      <c r="B166" s="1792" t="s">
        <v>287</v>
      </c>
      <c r="C166" s="575">
        <f>SUM(D166:E166)</f>
        <v>0</v>
      </c>
      <c r="D166" s="592">
        <f t="shared" si="148"/>
        <v>0</v>
      </c>
      <c r="E166" s="593">
        <f t="shared" si="148"/>
        <v>0</v>
      </c>
      <c r="F166" s="594"/>
      <c r="G166" s="595"/>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c r="AN166" s="595"/>
      <c r="AO166" s="595"/>
      <c r="AP166" s="595"/>
      <c r="AQ166" s="596"/>
      <c r="AR166" s="597"/>
      <c r="AS166" s="596"/>
      <c r="AT166" s="598"/>
      <c r="AU166" s="599"/>
      <c r="AV166" s="541" t="str">
        <f t="shared" si="140"/>
        <v/>
      </c>
      <c r="AW166" s="600"/>
      <c r="AX166" s="600"/>
      <c r="AY166" s="600"/>
      <c r="AZ166" s="600"/>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CA166" s="603"/>
      <c r="CB166" s="383" t="str">
        <f t="shared" si="141"/>
        <v/>
      </c>
      <c r="CC166" s="383" t="str">
        <f t="shared" si="142"/>
        <v/>
      </c>
      <c r="CD166" s="383" t="str">
        <f t="shared" si="143"/>
        <v/>
      </c>
      <c r="CE166" s="383" t="str">
        <f t="shared" si="144"/>
        <v/>
      </c>
      <c r="CF166" s="603"/>
      <c r="CG166" s="603"/>
      <c r="CH166" s="603"/>
      <c r="CI166" s="603"/>
      <c r="CJ166" s="603"/>
      <c r="CK166" s="603"/>
      <c r="CL166" s="604"/>
      <c r="CM166" s="604"/>
      <c r="CN166" s="604"/>
      <c r="CO166" s="604"/>
      <c r="CP166" s="604"/>
      <c r="CQ166" s="604"/>
      <c r="CR166" s="604"/>
      <c r="CS166" s="604"/>
      <c r="CT166" s="604"/>
      <c r="CU166" s="604"/>
      <c r="CV166" s="604"/>
      <c r="CW166" s="604"/>
      <c r="CX166" s="604"/>
      <c r="CY166" s="604"/>
      <c r="CZ166" s="604"/>
      <c r="DA166" s="604"/>
      <c r="DB166" s="142"/>
      <c r="DC166" s="142"/>
      <c r="DD166" s="142"/>
      <c r="DE166" s="142"/>
      <c r="DF166" s="142">
        <f t="shared" si="145"/>
        <v>0</v>
      </c>
      <c r="DG166" s="142">
        <f t="shared" si="145"/>
        <v>0</v>
      </c>
      <c r="DH166" s="142">
        <f t="shared" si="146"/>
        <v>0</v>
      </c>
      <c r="DI166" s="142">
        <f t="shared" si="146"/>
        <v>0</v>
      </c>
      <c r="DJ166" s="605"/>
      <c r="DK166" s="605"/>
      <c r="DL166" s="605"/>
      <c r="DM166" s="605"/>
      <c r="DN166" s="605"/>
      <c r="DO166" s="605"/>
      <c r="DP166" s="605"/>
      <c r="DQ166" s="605"/>
      <c r="DR166" s="605"/>
      <c r="DS166" s="605"/>
      <c r="DT166" s="605"/>
      <c r="DU166" s="605"/>
      <c r="DV166" s="605"/>
    </row>
    <row r="167" spans="1:126" s="602" customFormat="1" ht="16.5" customHeight="1">
      <c r="A167" s="1791" t="s">
        <v>288</v>
      </c>
      <c r="B167" s="1792" t="s">
        <v>288</v>
      </c>
      <c r="C167" s="575">
        <f>SUM(D167:E167)</f>
        <v>0</v>
      </c>
      <c r="D167" s="592">
        <f t="shared" si="148"/>
        <v>0</v>
      </c>
      <c r="E167" s="593">
        <f t="shared" si="148"/>
        <v>0</v>
      </c>
      <c r="F167" s="594"/>
      <c r="G167" s="595"/>
      <c r="H167" s="595"/>
      <c r="I167" s="595"/>
      <c r="J167" s="595"/>
      <c r="K167" s="595"/>
      <c r="L167" s="595"/>
      <c r="M167" s="595"/>
      <c r="N167" s="595"/>
      <c r="O167" s="595"/>
      <c r="P167" s="595"/>
      <c r="Q167" s="595"/>
      <c r="R167" s="595"/>
      <c r="S167" s="595"/>
      <c r="T167" s="595"/>
      <c r="U167" s="595"/>
      <c r="V167" s="595"/>
      <c r="W167" s="595"/>
      <c r="X167" s="595"/>
      <c r="Y167" s="595"/>
      <c r="Z167" s="595"/>
      <c r="AA167" s="595"/>
      <c r="AB167" s="595"/>
      <c r="AC167" s="595"/>
      <c r="AD167" s="595"/>
      <c r="AE167" s="595"/>
      <c r="AF167" s="595"/>
      <c r="AG167" s="595"/>
      <c r="AH167" s="595"/>
      <c r="AI167" s="595"/>
      <c r="AJ167" s="595"/>
      <c r="AK167" s="595"/>
      <c r="AL167" s="595"/>
      <c r="AM167" s="595"/>
      <c r="AN167" s="595"/>
      <c r="AO167" s="595"/>
      <c r="AP167" s="595"/>
      <c r="AQ167" s="596"/>
      <c r="AR167" s="597"/>
      <c r="AS167" s="596"/>
      <c r="AT167" s="598"/>
      <c r="AU167" s="599"/>
      <c r="AV167" s="541" t="str">
        <f t="shared" si="140"/>
        <v/>
      </c>
      <c r="AW167" s="600"/>
      <c r="AX167" s="600"/>
      <c r="AY167" s="600"/>
      <c r="AZ167" s="600"/>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CA167" s="603"/>
      <c r="CB167" s="383" t="str">
        <f t="shared" si="141"/>
        <v/>
      </c>
      <c r="CC167" s="383" t="str">
        <f t="shared" si="142"/>
        <v/>
      </c>
      <c r="CD167" s="383" t="str">
        <f t="shared" si="143"/>
        <v/>
      </c>
      <c r="CE167" s="383" t="str">
        <f t="shared" si="144"/>
        <v/>
      </c>
      <c r="CF167" s="603"/>
      <c r="CG167" s="603"/>
      <c r="CH167" s="603"/>
      <c r="CI167" s="603"/>
      <c r="CJ167" s="603"/>
      <c r="CK167" s="603"/>
      <c r="CL167" s="604"/>
      <c r="CM167" s="604"/>
      <c r="CN167" s="604"/>
      <c r="CO167" s="604"/>
      <c r="CP167" s="604"/>
      <c r="CQ167" s="604"/>
      <c r="CR167" s="604"/>
      <c r="CS167" s="604"/>
      <c r="CT167" s="604"/>
      <c r="CU167" s="604"/>
      <c r="CV167" s="604"/>
      <c r="CW167" s="604"/>
      <c r="CX167" s="604"/>
      <c r="CY167" s="604"/>
      <c r="CZ167" s="604"/>
      <c r="DA167" s="604"/>
      <c r="DB167" s="142"/>
      <c r="DC167" s="142"/>
      <c r="DD167" s="142"/>
      <c r="DE167" s="142"/>
      <c r="DF167" s="142">
        <f t="shared" si="145"/>
        <v>0</v>
      </c>
      <c r="DG167" s="142">
        <f t="shared" si="145"/>
        <v>0</v>
      </c>
      <c r="DH167" s="142">
        <f t="shared" si="146"/>
        <v>0</v>
      </c>
      <c r="DI167" s="142">
        <f t="shared" si="146"/>
        <v>0</v>
      </c>
      <c r="DJ167" s="605"/>
      <c r="DK167" s="605"/>
      <c r="DL167" s="605"/>
      <c r="DM167" s="605"/>
      <c r="DN167" s="605"/>
      <c r="DO167" s="605"/>
      <c r="DP167" s="605"/>
      <c r="DQ167" s="605"/>
      <c r="DR167" s="605"/>
      <c r="DS167" s="605"/>
      <c r="DT167" s="605"/>
      <c r="DU167" s="605"/>
      <c r="DV167" s="605"/>
    </row>
    <row r="168" spans="1:126" ht="16.5" customHeight="1">
      <c r="A168" s="1791" t="s">
        <v>289</v>
      </c>
      <c r="B168" s="1792" t="s">
        <v>289</v>
      </c>
      <c r="C168" s="491">
        <f t="shared" si="147"/>
        <v>0</v>
      </c>
      <c r="D168" s="590">
        <f t="shared" si="148"/>
        <v>0</v>
      </c>
      <c r="E168" s="591">
        <f t="shared" si="148"/>
        <v>0</v>
      </c>
      <c r="F168" s="460"/>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463"/>
      <c r="AK168" s="463"/>
      <c r="AL168" s="463"/>
      <c r="AM168" s="463"/>
      <c r="AN168" s="463"/>
      <c r="AO168" s="463"/>
      <c r="AP168" s="463"/>
      <c r="AQ168" s="459"/>
      <c r="AR168" s="462"/>
      <c r="AS168" s="459"/>
      <c r="AT168" s="457"/>
      <c r="AU168" s="458"/>
      <c r="AV168" s="541" t="str">
        <f t="shared" si="140"/>
        <v/>
      </c>
      <c r="AW168" s="350"/>
      <c r="AX168" s="350"/>
      <c r="AY168" s="350"/>
      <c r="AZ168" s="350"/>
      <c r="BR168" s="346"/>
      <c r="BS168" s="346"/>
      <c r="BT168" s="346"/>
      <c r="BU168" s="346"/>
      <c r="CA168" s="290"/>
      <c r="CB168" s="383" t="str">
        <f t="shared" si="141"/>
        <v/>
      </c>
      <c r="CC168" s="383" t="str">
        <f t="shared" si="142"/>
        <v/>
      </c>
      <c r="CD168" s="383" t="str">
        <f t="shared" si="143"/>
        <v/>
      </c>
      <c r="CE168" s="383" t="str">
        <f t="shared" si="144"/>
        <v/>
      </c>
      <c r="CF168" s="290"/>
      <c r="CG168" s="290"/>
      <c r="CH168" s="290"/>
      <c r="CI168" s="290"/>
      <c r="CJ168" s="290"/>
      <c r="CK168" s="290"/>
      <c r="CL168" s="355"/>
      <c r="CM168" s="355"/>
      <c r="CN168" s="355"/>
      <c r="CO168" s="355"/>
      <c r="CP168" s="355"/>
      <c r="CQ168" s="355"/>
      <c r="CR168" s="355"/>
      <c r="CS168" s="355"/>
      <c r="CT168" s="355"/>
      <c r="CU168" s="355"/>
      <c r="CV168" s="355"/>
      <c r="CW168" s="355"/>
      <c r="CX168" s="355"/>
      <c r="CY168" s="355"/>
      <c r="CZ168" s="355"/>
      <c r="DA168" s="355"/>
      <c r="DB168" s="142"/>
      <c r="DC168" s="142"/>
      <c r="DD168" s="142"/>
      <c r="DE168" s="142"/>
      <c r="DF168" s="142">
        <f t="shared" si="145"/>
        <v>0</v>
      </c>
      <c r="DG168" s="142">
        <f t="shared" si="145"/>
        <v>0</v>
      </c>
      <c r="DH168" s="142">
        <f t="shared" si="146"/>
        <v>0</v>
      </c>
      <c r="DI168" s="142">
        <f t="shared" si="146"/>
        <v>0</v>
      </c>
      <c r="DJ168" s="142"/>
      <c r="DK168" s="142"/>
      <c r="DL168" s="142"/>
      <c r="DM168" s="142"/>
      <c r="DN168" s="142"/>
      <c r="DO168" s="142"/>
      <c r="DP168" s="142"/>
      <c r="DQ168" s="142"/>
      <c r="DR168" s="142"/>
      <c r="DS168" s="142"/>
      <c r="DT168" s="142"/>
      <c r="DU168" s="142"/>
      <c r="DV168" s="142"/>
    </row>
    <row r="169" spans="1:126" ht="16.5" customHeight="1">
      <c r="A169" s="1791" t="s">
        <v>290</v>
      </c>
      <c r="B169" s="1792" t="s">
        <v>290</v>
      </c>
      <c r="C169" s="491">
        <f t="shared" si="147"/>
        <v>0</v>
      </c>
      <c r="D169" s="590">
        <f t="shared" si="148"/>
        <v>0</v>
      </c>
      <c r="E169" s="591">
        <f t="shared" si="148"/>
        <v>0</v>
      </c>
      <c r="F169" s="460"/>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463"/>
      <c r="AK169" s="463"/>
      <c r="AL169" s="463"/>
      <c r="AM169" s="463"/>
      <c r="AN169" s="463"/>
      <c r="AO169" s="463"/>
      <c r="AP169" s="463"/>
      <c r="AQ169" s="459"/>
      <c r="AR169" s="462"/>
      <c r="AS169" s="459"/>
      <c r="AT169" s="457"/>
      <c r="AU169" s="458"/>
      <c r="AV169" s="541" t="str">
        <f t="shared" si="140"/>
        <v/>
      </c>
      <c r="AW169" s="350"/>
      <c r="AX169" s="350"/>
      <c r="AY169" s="350"/>
      <c r="AZ169" s="350"/>
      <c r="BR169" s="346"/>
      <c r="BS169" s="346"/>
      <c r="BT169" s="346"/>
      <c r="BU169" s="346"/>
      <c r="CA169" s="290"/>
      <c r="CB169" s="383" t="str">
        <f t="shared" si="141"/>
        <v/>
      </c>
      <c r="CC169" s="383" t="str">
        <f t="shared" si="142"/>
        <v/>
      </c>
      <c r="CD169" s="383" t="str">
        <f t="shared" si="143"/>
        <v/>
      </c>
      <c r="CE169" s="383" t="str">
        <f t="shared" si="144"/>
        <v/>
      </c>
      <c r="CF169" s="290"/>
      <c r="CG169" s="290"/>
      <c r="CH169" s="290"/>
      <c r="CI169" s="290"/>
      <c r="CJ169" s="290"/>
      <c r="CK169" s="290"/>
      <c r="CL169" s="355"/>
      <c r="CM169" s="355"/>
      <c r="CN169" s="355"/>
      <c r="CO169" s="355"/>
      <c r="CP169" s="355"/>
      <c r="CQ169" s="355"/>
      <c r="CR169" s="355"/>
      <c r="CS169" s="355"/>
      <c r="CT169" s="355"/>
      <c r="CU169" s="355"/>
      <c r="CV169" s="355"/>
      <c r="CW169" s="355"/>
      <c r="CX169" s="355"/>
      <c r="CY169" s="355"/>
      <c r="CZ169" s="355"/>
      <c r="DA169" s="355"/>
      <c r="DB169" s="142"/>
      <c r="DC169" s="142"/>
      <c r="DD169" s="142"/>
      <c r="DE169" s="142"/>
      <c r="DF169" s="142">
        <f t="shared" si="145"/>
        <v>0</v>
      </c>
      <c r="DG169" s="142">
        <f t="shared" si="145"/>
        <v>0</v>
      </c>
      <c r="DH169" s="142">
        <f t="shared" si="146"/>
        <v>0</v>
      </c>
      <c r="DI169" s="142">
        <f t="shared" si="146"/>
        <v>0</v>
      </c>
      <c r="DJ169" s="142"/>
      <c r="DK169" s="142"/>
      <c r="DL169" s="142"/>
      <c r="DM169" s="142"/>
      <c r="DN169" s="142"/>
      <c r="DO169" s="142"/>
      <c r="DP169" s="142"/>
      <c r="DQ169" s="142"/>
      <c r="DR169" s="142"/>
      <c r="DS169" s="142"/>
      <c r="DT169" s="142"/>
      <c r="DU169" s="142"/>
      <c r="DV169" s="142"/>
    </row>
    <row r="170" spans="1:126" ht="16.5" customHeight="1">
      <c r="A170" s="1791" t="s">
        <v>291</v>
      </c>
      <c r="B170" s="1792" t="s">
        <v>291</v>
      </c>
      <c r="C170" s="491">
        <f t="shared" si="147"/>
        <v>0</v>
      </c>
      <c r="D170" s="590">
        <f t="shared" si="148"/>
        <v>0</v>
      </c>
      <c r="E170" s="591">
        <f t="shared" si="148"/>
        <v>0</v>
      </c>
      <c r="F170" s="460"/>
      <c r="G170" s="463"/>
      <c r="H170" s="463"/>
      <c r="I170" s="463"/>
      <c r="J170" s="463"/>
      <c r="K170" s="463"/>
      <c r="L170" s="463"/>
      <c r="M170" s="463"/>
      <c r="N170" s="463"/>
      <c r="O170" s="463"/>
      <c r="P170" s="463"/>
      <c r="Q170" s="463"/>
      <c r="R170" s="463"/>
      <c r="S170" s="463"/>
      <c r="T170" s="463"/>
      <c r="U170" s="463"/>
      <c r="V170" s="463"/>
      <c r="W170" s="463"/>
      <c r="X170" s="463"/>
      <c r="Y170" s="463"/>
      <c r="Z170" s="463"/>
      <c r="AA170" s="463"/>
      <c r="AB170" s="463"/>
      <c r="AC170" s="463"/>
      <c r="AD170" s="463"/>
      <c r="AE170" s="463"/>
      <c r="AF170" s="463"/>
      <c r="AG170" s="463"/>
      <c r="AH170" s="463"/>
      <c r="AI170" s="463"/>
      <c r="AJ170" s="463"/>
      <c r="AK170" s="463"/>
      <c r="AL170" s="463"/>
      <c r="AM170" s="463"/>
      <c r="AN170" s="463"/>
      <c r="AO170" s="463"/>
      <c r="AP170" s="463"/>
      <c r="AQ170" s="459"/>
      <c r="AR170" s="462"/>
      <c r="AS170" s="459"/>
      <c r="AT170" s="457"/>
      <c r="AU170" s="458"/>
      <c r="AV170" s="541" t="str">
        <f t="shared" si="140"/>
        <v/>
      </c>
      <c r="AW170" s="350"/>
      <c r="AX170" s="350"/>
      <c r="AY170" s="350"/>
      <c r="AZ170" s="350"/>
      <c r="BR170" s="346"/>
      <c r="BS170" s="346"/>
      <c r="BT170" s="346"/>
      <c r="BU170" s="346"/>
      <c r="CA170" s="290"/>
      <c r="CB170" s="383" t="str">
        <f t="shared" si="141"/>
        <v/>
      </c>
      <c r="CC170" s="383" t="str">
        <f t="shared" si="142"/>
        <v/>
      </c>
      <c r="CD170" s="383" t="str">
        <f t="shared" si="143"/>
        <v/>
      </c>
      <c r="CE170" s="383" t="str">
        <f t="shared" si="144"/>
        <v/>
      </c>
      <c r="CF170" s="290"/>
      <c r="CG170" s="290"/>
      <c r="CH170" s="290"/>
      <c r="CI170" s="290"/>
      <c r="CJ170" s="290"/>
      <c r="CK170" s="290"/>
      <c r="CL170" s="355"/>
      <c r="CM170" s="355"/>
      <c r="CN170" s="355"/>
      <c r="CO170" s="355"/>
      <c r="CP170" s="355"/>
      <c r="CQ170" s="355"/>
      <c r="CR170" s="355"/>
      <c r="CS170" s="355"/>
      <c r="CT170" s="355"/>
      <c r="CU170" s="355"/>
      <c r="CV170" s="355"/>
      <c r="CW170" s="355"/>
      <c r="CX170" s="355"/>
      <c r="CY170" s="355"/>
      <c r="CZ170" s="355"/>
      <c r="DA170" s="355"/>
      <c r="DB170" s="142"/>
      <c r="DC170" s="142"/>
      <c r="DD170" s="142"/>
      <c r="DE170" s="142"/>
      <c r="DF170" s="142">
        <f t="shared" si="145"/>
        <v>0</v>
      </c>
      <c r="DG170" s="142">
        <f t="shared" si="145"/>
        <v>0</v>
      </c>
      <c r="DH170" s="142">
        <f t="shared" si="146"/>
        <v>0</v>
      </c>
      <c r="DI170" s="142">
        <f t="shared" si="146"/>
        <v>0</v>
      </c>
      <c r="DJ170" s="142"/>
      <c r="DK170" s="142"/>
      <c r="DL170" s="142"/>
      <c r="DM170" s="142"/>
      <c r="DN170" s="142"/>
      <c r="DO170" s="142"/>
      <c r="DP170" s="142"/>
      <c r="DQ170" s="142"/>
      <c r="DR170" s="142"/>
      <c r="DS170" s="142"/>
      <c r="DT170" s="142"/>
      <c r="DU170" s="142"/>
      <c r="DV170" s="142"/>
    </row>
    <row r="171" spans="1:126" ht="16.5" customHeight="1">
      <c r="A171" s="1791" t="s">
        <v>292</v>
      </c>
      <c r="B171" s="1792" t="s">
        <v>292</v>
      </c>
      <c r="C171" s="491">
        <f t="shared" ref="C171:C177" si="149">SUM(D171:E171)</f>
        <v>0</v>
      </c>
      <c r="D171" s="590">
        <f t="shared" si="148"/>
        <v>0</v>
      </c>
      <c r="E171" s="591">
        <f t="shared" si="148"/>
        <v>0</v>
      </c>
      <c r="F171" s="460"/>
      <c r="G171" s="463"/>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63"/>
      <c r="AL171" s="463"/>
      <c r="AM171" s="463"/>
      <c r="AN171" s="463"/>
      <c r="AO171" s="463"/>
      <c r="AP171" s="463"/>
      <c r="AQ171" s="459"/>
      <c r="AR171" s="462"/>
      <c r="AS171" s="459"/>
      <c r="AT171" s="457"/>
      <c r="AU171" s="458"/>
      <c r="AV171" s="541" t="str">
        <f t="shared" si="140"/>
        <v/>
      </c>
      <c r="AW171" s="350"/>
      <c r="AX171" s="350"/>
      <c r="AY171" s="350"/>
      <c r="AZ171" s="350"/>
      <c r="BR171" s="346"/>
      <c r="BS171" s="346"/>
      <c r="BT171" s="346"/>
      <c r="BU171" s="346"/>
      <c r="CA171" s="290"/>
      <c r="CB171" s="383" t="str">
        <f t="shared" si="141"/>
        <v/>
      </c>
      <c r="CC171" s="383" t="str">
        <f t="shared" si="142"/>
        <v/>
      </c>
      <c r="CD171" s="383" t="str">
        <f t="shared" si="143"/>
        <v/>
      </c>
      <c r="CE171" s="383" t="str">
        <f t="shared" si="144"/>
        <v/>
      </c>
      <c r="CF171" s="290"/>
      <c r="CG171" s="290"/>
      <c r="CH171" s="290"/>
      <c r="CI171" s="290"/>
      <c r="CJ171" s="290"/>
      <c r="CK171" s="290"/>
      <c r="CL171" s="355"/>
      <c r="CM171" s="355"/>
      <c r="CN171" s="355"/>
      <c r="CO171" s="355"/>
      <c r="CP171" s="355"/>
      <c r="CQ171" s="355"/>
      <c r="CR171" s="355"/>
      <c r="CS171" s="355"/>
      <c r="CT171" s="355"/>
      <c r="CU171" s="355"/>
      <c r="CV171" s="355"/>
      <c r="CW171" s="355"/>
      <c r="CX171" s="355"/>
      <c r="CY171" s="355"/>
      <c r="CZ171" s="355"/>
      <c r="DA171" s="355"/>
      <c r="DB171" s="142"/>
      <c r="DC171" s="142"/>
      <c r="DD171" s="142"/>
      <c r="DE171" s="142"/>
      <c r="DF171" s="142">
        <f t="shared" si="145"/>
        <v>0</v>
      </c>
      <c r="DG171" s="142">
        <f t="shared" si="145"/>
        <v>0</v>
      </c>
      <c r="DH171" s="142">
        <f t="shared" si="146"/>
        <v>0</v>
      </c>
      <c r="DI171" s="142">
        <f t="shared" si="146"/>
        <v>0</v>
      </c>
      <c r="DJ171" s="142"/>
      <c r="DK171" s="142"/>
      <c r="DL171" s="142"/>
      <c r="DM171" s="142"/>
      <c r="DN171" s="142"/>
      <c r="DO171" s="142"/>
      <c r="DP171" s="142"/>
      <c r="DQ171" s="142"/>
      <c r="DR171" s="142"/>
      <c r="DS171" s="142"/>
      <c r="DT171" s="142"/>
      <c r="DU171" s="142"/>
      <c r="DV171" s="142"/>
    </row>
    <row r="172" spans="1:126" ht="16.5" customHeight="1">
      <c r="A172" s="1791" t="s">
        <v>293</v>
      </c>
      <c r="B172" s="1792" t="s">
        <v>293</v>
      </c>
      <c r="C172" s="491">
        <f t="shared" si="149"/>
        <v>0</v>
      </c>
      <c r="D172" s="590">
        <f t="shared" si="148"/>
        <v>0</v>
      </c>
      <c r="E172" s="591">
        <f t="shared" si="148"/>
        <v>0</v>
      </c>
      <c r="F172" s="460"/>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63"/>
      <c r="AN172" s="463"/>
      <c r="AO172" s="463"/>
      <c r="AP172" s="463"/>
      <c r="AQ172" s="459"/>
      <c r="AR172" s="462"/>
      <c r="AS172" s="459"/>
      <c r="AT172" s="457"/>
      <c r="AU172" s="458"/>
      <c r="AV172" s="541" t="str">
        <f t="shared" si="140"/>
        <v/>
      </c>
      <c r="AW172" s="350"/>
      <c r="AX172" s="350"/>
      <c r="AY172" s="350"/>
      <c r="AZ172" s="350"/>
      <c r="BR172" s="346"/>
      <c r="BS172" s="346"/>
      <c r="BT172" s="346"/>
      <c r="BU172" s="346"/>
      <c r="CA172" s="290"/>
      <c r="CB172" s="383" t="str">
        <f t="shared" si="141"/>
        <v/>
      </c>
      <c r="CC172" s="383" t="str">
        <f t="shared" si="142"/>
        <v/>
      </c>
      <c r="CD172" s="383" t="str">
        <f t="shared" si="143"/>
        <v/>
      </c>
      <c r="CE172" s="383" t="str">
        <f t="shared" si="144"/>
        <v/>
      </c>
      <c r="CF172" s="290"/>
      <c r="CG172" s="290"/>
      <c r="CH172" s="290"/>
      <c r="CI172" s="290"/>
      <c r="CJ172" s="290"/>
      <c r="CK172" s="290"/>
      <c r="CL172" s="355"/>
      <c r="CM172" s="355"/>
      <c r="CN172" s="355"/>
      <c r="CO172" s="355"/>
      <c r="CP172" s="355"/>
      <c r="CQ172" s="355"/>
      <c r="CR172" s="355"/>
      <c r="CS172" s="355"/>
      <c r="CT172" s="355"/>
      <c r="CU172" s="355"/>
      <c r="CV172" s="355"/>
      <c r="CW172" s="355"/>
      <c r="CX172" s="355"/>
      <c r="CY172" s="355"/>
      <c r="CZ172" s="355"/>
      <c r="DA172" s="355"/>
      <c r="DB172" s="142"/>
      <c r="DC172" s="142"/>
      <c r="DD172" s="142"/>
      <c r="DE172" s="142"/>
      <c r="DF172" s="142">
        <f t="shared" si="145"/>
        <v>0</v>
      </c>
      <c r="DG172" s="142">
        <f t="shared" si="145"/>
        <v>0</v>
      </c>
      <c r="DH172" s="142">
        <f t="shared" si="146"/>
        <v>0</v>
      </c>
      <c r="DI172" s="142">
        <f t="shared" si="146"/>
        <v>0</v>
      </c>
      <c r="DJ172" s="142"/>
      <c r="DK172" s="142"/>
      <c r="DL172" s="142"/>
      <c r="DM172" s="142"/>
      <c r="DN172" s="142"/>
      <c r="DO172" s="142"/>
      <c r="DP172" s="142"/>
      <c r="DQ172" s="142"/>
      <c r="DR172" s="142"/>
      <c r="DS172" s="142"/>
      <c r="DT172" s="142"/>
      <c r="DU172" s="142"/>
      <c r="DV172" s="142"/>
    </row>
    <row r="173" spans="1:126" ht="16.5" customHeight="1">
      <c r="A173" s="1791" t="s">
        <v>294</v>
      </c>
      <c r="B173" s="1792" t="s">
        <v>294</v>
      </c>
      <c r="C173" s="491">
        <f t="shared" si="149"/>
        <v>0</v>
      </c>
      <c r="D173" s="590">
        <f t="shared" si="148"/>
        <v>0</v>
      </c>
      <c r="E173" s="591">
        <f t="shared" si="148"/>
        <v>0</v>
      </c>
      <c r="F173" s="460"/>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c r="AI173" s="463"/>
      <c r="AJ173" s="463"/>
      <c r="AK173" s="463"/>
      <c r="AL173" s="463"/>
      <c r="AM173" s="463"/>
      <c r="AN173" s="463"/>
      <c r="AO173" s="463"/>
      <c r="AP173" s="463"/>
      <c r="AQ173" s="459"/>
      <c r="AR173" s="462"/>
      <c r="AS173" s="459"/>
      <c r="AT173" s="457"/>
      <c r="AU173" s="458"/>
      <c r="AV173" s="541" t="str">
        <f t="shared" si="140"/>
        <v/>
      </c>
      <c r="AW173" s="350"/>
      <c r="AX173" s="350"/>
      <c r="AY173" s="350"/>
      <c r="AZ173" s="350"/>
      <c r="BR173" s="346"/>
      <c r="BS173" s="346"/>
      <c r="BT173" s="346"/>
      <c r="BU173" s="346"/>
      <c r="CA173" s="290"/>
      <c r="CB173" s="383" t="str">
        <f t="shared" si="141"/>
        <v/>
      </c>
      <c r="CC173" s="383" t="str">
        <f t="shared" si="142"/>
        <v/>
      </c>
      <c r="CD173" s="383" t="str">
        <f t="shared" si="143"/>
        <v/>
      </c>
      <c r="CE173" s="383" t="str">
        <f t="shared" si="144"/>
        <v/>
      </c>
      <c r="CF173" s="290"/>
      <c r="CG173" s="290"/>
      <c r="CH173" s="290"/>
      <c r="CI173" s="290"/>
      <c r="CJ173" s="290"/>
      <c r="CK173" s="290"/>
      <c r="CL173" s="355"/>
      <c r="CM173" s="355"/>
      <c r="CN173" s="355"/>
      <c r="CO173" s="355"/>
      <c r="CP173" s="355"/>
      <c r="CQ173" s="355"/>
      <c r="CR173" s="355"/>
      <c r="CS173" s="355"/>
      <c r="CT173" s="355"/>
      <c r="CU173" s="355"/>
      <c r="CV173" s="355"/>
      <c r="CW173" s="355"/>
      <c r="CX173" s="355"/>
      <c r="CY173" s="355"/>
      <c r="CZ173" s="355"/>
      <c r="DA173" s="355"/>
      <c r="DB173" s="142"/>
      <c r="DC173" s="142"/>
      <c r="DD173" s="142"/>
      <c r="DE173" s="142"/>
      <c r="DF173" s="142">
        <f t="shared" si="145"/>
        <v>0</v>
      </c>
      <c r="DG173" s="142">
        <f t="shared" si="145"/>
        <v>0</v>
      </c>
      <c r="DH173" s="142">
        <f t="shared" si="146"/>
        <v>0</v>
      </c>
      <c r="DI173" s="142">
        <f t="shared" si="146"/>
        <v>0</v>
      </c>
      <c r="DJ173" s="142"/>
      <c r="DK173" s="142"/>
      <c r="DL173" s="142"/>
      <c r="DM173" s="142"/>
      <c r="DN173" s="142"/>
      <c r="DO173" s="142"/>
      <c r="DP173" s="142"/>
      <c r="DQ173" s="142"/>
      <c r="DR173" s="142"/>
      <c r="DS173" s="142"/>
      <c r="DT173" s="142"/>
      <c r="DU173" s="142"/>
      <c r="DV173" s="142"/>
    </row>
    <row r="174" spans="1:126" ht="16.5" customHeight="1">
      <c r="A174" s="1791" t="s">
        <v>295</v>
      </c>
      <c r="B174" s="1792" t="s">
        <v>295</v>
      </c>
      <c r="C174" s="491">
        <f t="shared" si="149"/>
        <v>0</v>
      </c>
      <c r="D174" s="590">
        <f t="shared" si="148"/>
        <v>0</v>
      </c>
      <c r="E174" s="591">
        <f t="shared" si="148"/>
        <v>0</v>
      </c>
      <c r="F174" s="460"/>
      <c r="G174" s="463"/>
      <c r="H174" s="463"/>
      <c r="I174" s="463"/>
      <c r="J174" s="463"/>
      <c r="K174" s="463"/>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63"/>
      <c r="AN174" s="463"/>
      <c r="AO174" s="463"/>
      <c r="AP174" s="463"/>
      <c r="AQ174" s="459"/>
      <c r="AR174" s="462"/>
      <c r="AS174" s="459"/>
      <c r="AT174" s="457"/>
      <c r="AU174" s="458"/>
      <c r="AV174" s="541" t="str">
        <f t="shared" si="140"/>
        <v/>
      </c>
      <c r="AW174" s="350"/>
      <c r="AX174" s="350"/>
      <c r="AY174" s="350"/>
      <c r="AZ174" s="350"/>
      <c r="BR174" s="346"/>
      <c r="BS174" s="346"/>
      <c r="BT174" s="346"/>
      <c r="BU174" s="346"/>
      <c r="CA174" s="290"/>
      <c r="CB174" s="383" t="str">
        <f t="shared" si="141"/>
        <v/>
      </c>
      <c r="CC174" s="383" t="str">
        <f t="shared" si="142"/>
        <v/>
      </c>
      <c r="CD174" s="383" t="str">
        <f t="shared" si="143"/>
        <v/>
      </c>
      <c r="CE174" s="383" t="str">
        <f t="shared" si="144"/>
        <v/>
      </c>
      <c r="CF174" s="290"/>
      <c r="CG174" s="290"/>
      <c r="CH174" s="290"/>
      <c r="CI174" s="290"/>
      <c r="CJ174" s="290"/>
      <c r="CK174" s="290"/>
      <c r="CL174" s="355"/>
      <c r="CM174" s="355"/>
      <c r="CN174" s="355"/>
      <c r="CO174" s="355"/>
      <c r="CP174" s="355"/>
      <c r="CQ174" s="355"/>
      <c r="CR174" s="355"/>
      <c r="CS174" s="355"/>
      <c r="CT174" s="355"/>
      <c r="CU174" s="355"/>
      <c r="CV174" s="355"/>
      <c r="CW174" s="355"/>
      <c r="CX174" s="355"/>
      <c r="CY174" s="355"/>
      <c r="CZ174" s="355"/>
      <c r="DA174" s="355"/>
      <c r="DB174" s="142"/>
      <c r="DC174" s="142"/>
      <c r="DD174" s="142"/>
      <c r="DE174" s="142"/>
      <c r="DF174" s="142">
        <f t="shared" si="145"/>
        <v>0</v>
      </c>
      <c r="DG174" s="142">
        <f t="shared" si="145"/>
        <v>0</v>
      </c>
      <c r="DH174" s="142">
        <f t="shared" si="146"/>
        <v>0</v>
      </c>
      <c r="DI174" s="142">
        <f t="shared" si="146"/>
        <v>0</v>
      </c>
      <c r="DJ174" s="142"/>
      <c r="DK174" s="142"/>
      <c r="DL174" s="142"/>
      <c r="DM174" s="142"/>
      <c r="DN174" s="142"/>
      <c r="DO174" s="142"/>
      <c r="DP174" s="142"/>
      <c r="DQ174" s="142"/>
      <c r="DR174" s="142"/>
      <c r="DS174" s="142"/>
      <c r="DT174" s="142"/>
      <c r="DU174" s="142"/>
      <c r="DV174" s="142"/>
    </row>
    <row r="175" spans="1:126">
      <c r="A175" s="1791" t="s">
        <v>296</v>
      </c>
      <c r="B175" s="1792" t="s">
        <v>296</v>
      </c>
      <c r="C175" s="498">
        <f t="shared" si="149"/>
        <v>0</v>
      </c>
      <c r="D175" s="588">
        <f t="shared" si="148"/>
        <v>0</v>
      </c>
      <c r="E175" s="589">
        <f t="shared" si="148"/>
        <v>0</v>
      </c>
      <c r="F175" s="435"/>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36"/>
      <c r="AR175" s="440"/>
      <c r="AS175" s="436"/>
      <c r="AT175" s="434"/>
      <c r="AU175" s="437"/>
      <c r="AV175" s="541" t="str">
        <f t="shared" si="140"/>
        <v/>
      </c>
      <c r="CA175" s="290"/>
      <c r="CB175" s="383" t="str">
        <f t="shared" si="141"/>
        <v/>
      </c>
      <c r="CC175" s="383" t="str">
        <f t="shared" si="142"/>
        <v/>
      </c>
      <c r="CD175" s="383" t="str">
        <f t="shared" si="143"/>
        <v/>
      </c>
      <c r="CE175" s="383" t="str">
        <f t="shared" si="144"/>
        <v/>
      </c>
      <c r="CF175" s="290"/>
      <c r="CG175" s="290"/>
      <c r="CH175" s="290"/>
      <c r="CI175" s="290"/>
      <c r="CJ175" s="290"/>
      <c r="CK175" s="290"/>
      <c r="CL175" s="355"/>
      <c r="CM175" s="355"/>
      <c r="CN175" s="355"/>
      <c r="CO175" s="355"/>
      <c r="CP175" s="355"/>
      <c r="CQ175" s="355"/>
      <c r="CR175" s="355"/>
      <c r="CS175" s="355"/>
      <c r="CT175" s="355"/>
      <c r="CU175" s="355"/>
      <c r="CV175" s="355"/>
      <c r="CW175" s="355"/>
      <c r="CX175" s="355"/>
      <c r="CY175" s="355"/>
      <c r="CZ175" s="355"/>
      <c r="DA175" s="355"/>
      <c r="DB175" s="142"/>
      <c r="DC175" s="142"/>
      <c r="DD175" s="142"/>
      <c r="DE175" s="142"/>
      <c r="DF175" s="142">
        <f t="shared" si="145"/>
        <v>0</v>
      </c>
      <c r="DG175" s="142">
        <f t="shared" si="145"/>
        <v>0</v>
      </c>
      <c r="DH175" s="142">
        <f t="shared" si="146"/>
        <v>0</v>
      </c>
      <c r="DI175" s="142">
        <f t="shared" si="146"/>
        <v>0</v>
      </c>
      <c r="DJ175" s="290"/>
      <c r="DK175" s="290"/>
      <c r="DL175" s="142"/>
      <c r="DM175" s="142"/>
      <c r="DN175" s="142"/>
      <c r="DO175" s="142"/>
      <c r="DP175" s="142"/>
      <c r="DQ175" s="142"/>
      <c r="DR175" s="142"/>
      <c r="DS175" s="142"/>
      <c r="DT175" s="142"/>
      <c r="DU175" s="142"/>
      <c r="DV175" s="142"/>
    </row>
    <row r="176" spans="1:126" ht="16.5" customHeight="1">
      <c r="A176" s="1791" t="s">
        <v>297</v>
      </c>
      <c r="B176" s="1792" t="s">
        <v>297</v>
      </c>
      <c r="C176" s="491">
        <f t="shared" si="149"/>
        <v>0</v>
      </c>
      <c r="D176" s="590">
        <f t="shared" si="148"/>
        <v>0</v>
      </c>
      <c r="E176" s="591">
        <f t="shared" si="148"/>
        <v>0</v>
      </c>
      <c r="F176" s="460"/>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463"/>
      <c r="AK176" s="463"/>
      <c r="AL176" s="463"/>
      <c r="AM176" s="463"/>
      <c r="AN176" s="463"/>
      <c r="AO176" s="463"/>
      <c r="AP176" s="463"/>
      <c r="AQ176" s="459"/>
      <c r="AR176" s="462"/>
      <c r="AS176" s="459"/>
      <c r="AT176" s="457"/>
      <c r="AU176" s="458"/>
      <c r="AV176" s="541" t="str">
        <f t="shared" si="140"/>
        <v/>
      </c>
      <c r="AW176" s="350"/>
      <c r="AX176" s="350"/>
      <c r="AY176" s="350"/>
      <c r="AZ176" s="350"/>
      <c r="BR176" s="346"/>
      <c r="BS176" s="346"/>
      <c r="BT176" s="346"/>
      <c r="BU176" s="346"/>
      <c r="CA176" s="290"/>
      <c r="CB176" s="383" t="str">
        <f t="shared" si="141"/>
        <v/>
      </c>
      <c r="CC176" s="383" t="str">
        <f t="shared" si="142"/>
        <v/>
      </c>
      <c r="CD176" s="383" t="str">
        <f t="shared" si="143"/>
        <v/>
      </c>
      <c r="CE176" s="383" t="str">
        <f t="shared" si="144"/>
        <v/>
      </c>
      <c r="CF176" s="290"/>
      <c r="CG176" s="290"/>
      <c r="CH176" s="290"/>
      <c r="CI176" s="290"/>
      <c r="CJ176" s="290"/>
      <c r="CK176" s="290"/>
      <c r="CL176" s="355"/>
      <c r="CM176" s="355"/>
      <c r="CN176" s="355"/>
      <c r="CO176" s="355"/>
      <c r="CP176" s="355"/>
      <c r="CQ176" s="355"/>
      <c r="CR176" s="355"/>
      <c r="CS176" s="355"/>
      <c r="CT176" s="355"/>
      <c r="CU176" s="355"/>
      <c r="CV176" s="355"/>
      <c r="CW176" s="355"/>
      <c r="CX176" s="355"/>
      <c r="CY176" s="355"/>
      <c r="CZ176" s="355"/>
      <c r="DA176" s="355"/>
      <c r="DB176" s="142"/>
      <c r="DC176" s="142"/>
      <c r="DD176" s="142"/>
      <c r="DE176" s="142"/>
      <c r="DF176" s="142">
        <f t="shared" si="145"/>
        <v>0</v>
      </c>
      <c r="DG176" s="142">
        <f t="shared" si="145"/>
        <v>0</v>
      </c>
      <c r="DH176" s="142">
        <f t="shared" si="146"/>
        <v>0</v>
      </c>
      <c r="DI176" s="142">
        <f t="shared" si="146"/>
        <v>0</v>
      </c>
      <c r="DJ176" s="142"/>
      <c r="DK176" s="142"/>
      <c r="DL176" s="142"/>
      <c r="DM176" s="142"/>
      <c r="DN176" s="142"/>
      <c r="DO176" s="142"/>
      <c r="DP176" s="142"/>
      <c r="DQ176" s="142"/>
      <c r="DR176" s="142"/>
      <c r="DS176" s="142"/>
      <c r="DT176" s="142"/>
      <c r="DU176" s="142"/>
      <c r="DV176" s="142"/>
    </row>
    <row r="177" spans="1:126" ht="16.5" customHeight="1">
      <c r="A177" s="1791" t="s">
        <v>298</v>
      </c>
      <c r="B177" s="1792" t="s">
        <v>298</v>
      </c>
      <c r="C177" s="491">
        <f t="shared" si="149"/>
        <v>0</v>
      </c>
      <c r="D177" s="590">
        <f t="shared" si="148"/>
        <v>0</v>
      </c>
      <c r="E177" s="591">
        <f t="shared" si="148"/>
        <v>0</v>
      </c>
      <c r="F177" s="460"/>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3"/>
      <c r="AL177" s="463"/>
      <c r="AM177" s="463"/>
      <c r="AN177" s="463"/>
      <c r="AO177" s="463"/>
      <c r="AP177" s="463"/>
      <c r="AQ177" s="459"/>
      <c r="AR177" s="462"/>
      <c r="AS177" s="459"/>
      <c r="AT177" s="457"/>
      <c r="AU177" s="458"/>
      <c r="AV177" s="541" t="str">
        <f t="shared" si="140"/>
        <v/>
      </c>
      <c r="AW177" s="350"/>
      <c r="AX177" s="350"/>
      <c r="AY177" s="350"/>
      <c r="AZ177" s="350"/>
      <c r="BR177" s="346"/>
      <c r="BS177" s="346"/>
      <c r="BT177" s="346"/>
      <c r="BU177" s="346"/>
      <c r="CA177" s="290"/>
      <c r="CB177" s="383" t="str">
        <f t="shared" si="141"/>
        <v/>
      </c>
      <c r="CC177" s="383" t="str">
        <f t="shared" si="142"/>
        <v/>
      </c>
      <c r="CD177" s="383" t="str">
        <f t="shared" si="143"/>
        <v/>
      </c>
      <c r="CE177" s="383" t="str">
        <f t="shared" si="144"/>
        <v/>
      </c>
      <c r="CF177" s="290"/>
      <c r="CG177" s="290"/>
      <c r="CH177" s="290"/>
      <c r="CI177" s="290"/>
      <c r="CJ177" s="290"/>
      <c r="CK177" s="290"/>
      <c r="CL177" s="355"/>
      <c r="CM177" s="355"/>
      <c r="CN177" s="355"/>
      <c r="CO177" s="355"/>
      <c r="CP177" s="355"/>
      <c r="CQ177" s="355"/>
      <c r="CR177" s="355"/>
      <c r="CS177" s="355"/>
      <c r="CT177" s="355"/>
      <c r="CU177" s="355"/>
      <c r="CV177" s="355"/>
      <c r="CW177" s="355"/>
      <c r="CX177" s="355"/>
      <c r="CY177" s="355"/>
      <c r="CZ177" s="355"/>
      <c r="DA177" s="355"/>
      <c r="DB177" s="142"/>
      <c r="DC177" s="142"/>
      <c r="DD177" s="142"/>
      <c r="DE177" s="142"/>
      <c r="DF177" s="142">
        <f t="shared" si="145"/>
        <v>0</v>
      </c>
      <c r="DG177" s="142">
        <f t="shared" si="145"/>
        <v>0</v>
      </c>
      <c r="DH177" s="142">
        <f t="shared" si="146"/>
        <v>0</v>
      </c>
      <c r="DI177" s="142">
        <f t="shared" si="146"/>
        <v>0</v>
      </c>
      <c r="DJ177" s="142"/>
      <c r="DK177" s="142"/>
      <c r="DL177" s="142"/>
      <c r="DM177" s="142"/>
      <c r="DN177" s="142"/>
      <c r="DO177" s="142"/>
      <c r="DP177" s="142"/>
      <c r="DQ177" s="142"/>
      <c r="DR177" s="142"/>
      <c r="DS177" s="142"/>
      <c r="DT177" s="142"/>
      <c r="DU177" s="142"/>
      <c r="DV177" s="142"/>
    </row>
    <row r="178" spans="1:126" ht="20.25" customHeight="1">
      <c r="A178" s="1791" t="s">
        <v>299</v>
      </c>
      <c r="B178" s="1792" t="s">
        <v>299</v>
      </c>
      <c r="C178" s="491">
        <f t="shared" si="147"/>
        <v>0</v>
      </c>
      <c r="D178" s="590">
        <f t="shared" si="148"/>
        <v>0</v>
      </c>
      <c r="E178" s="591">
        <f t="shared" si="148"/>
        <v>0</v>
      </c>
      <c r="F178" s="460"/>
      <c r="G178" s="463"/>
      <c r="H178" s="463"/>
      <c r="I178" s="463"/>
      <c r="J178" s="463"/>
      <c r="K178" s="463"/>
      <c r="L178" s="463"/>
      <c r="M178" s="463"/>
      <c r="N178" s="463"/>
      <c r="O178" s="463"/>
      <c r="P178" s="463"/>
      <c r="Q178" s="463"/>
      <c r="R178" s="463"/>
      <c r="S178" s="463"/>
      <c r="T178" s="463"/>
      <c r="U178" s="463"/>
      <c r="V178" s="463"/>
      <c r="W178" s="463"/>
      <c r="X178" s="463"/>
      <c r="Y178" s="463"/>
      <c r="Z178" s="463"/>
      <c r="AA178" s="463"/>
      <c r="AB178" s="463"/>
      <c r="AC178" s="463"/>
      <c r="AD178" s="463"/>
      <c r="AE178" s="463"/>
      <c r="AF178" s="463"/>
      <c r="AG178" s="463"/>
      <c r="AH178" s="463"/>
      <c r="AI178" s="463"/>
      <c r="AJ178" s="463"/>
      <c r="AK178" s="463"/>
      <c r="AL178" s="463"/>
      <c r="AM178" s="463"/>
      <c r="AN178" s="463"/>
      <c r="AO178" s="463"/>
      <c r="AP178" s="463"/>
      <c r="AQ178" s="459"/>
      <c r="AR178" s="462"/>
      <c r="AS178" s="459"/>
      <c r="AT178" s="457"/>
      <c r="AU178" s="458"/>
      <c r="AV178" s="541" t="str">
        <f t="shared" si="140"/>
        <v/>
      </c>
      <c r="AW178" s="350"/>
      <c r="AX178" s="350"/>
      <c r="AY178" s="350"/>
      <c r="AZ178" s="350"/>
      <c r="BR178" s="346"/>
      <c r="BS178" s="346"/>
      <c r="BT178" s="346"/>
      <c r="BU178" s="346"/>
      <c r="CA178" s="290"/>
      <c r="CB178" s="383" t="str">
        <f t="shared" si="141"/>
        <v/>
      </c>
      <c r="CC178" s="383" t="str">
        <f t="shared" si="142"/>
        <v/>
      </c>
      <c r="CD178" s="383" t="str">
        <f t="shared" si="143"/>
        <v/>
      </c>
      <c r="CE178" s="383" t="str">
        <f t="shared" si="144"/>
        <v/>
      </c>
      <c r="CF178" s="290"/>
      <c r="CG178" s="290"/>
      <c r="CH178" s="290"/>
      <c r="CI178" s="290"/>
      <c r="CJ178" s="290"/>
      <c r="CK178" s="290"/>
      <c r="CL178" s="355"/>
      <c r="CM178" s="355"/>
      <c r="CN178" s="355"/>
      <c r="CO178" s="355"/>
      <c r="CP178" s="355"/>
      <c r="CQ178" s="355"/>
      <c r="CR178" s="355"/>
      <c r="CS178" s="355"/>
      <c r="CT178" s="355"/>
      <c r="CU178" s="355"/>
      <c r="CV178" s="355"/>
      <c r="CW178" s="355"/>
      <c r="CX178" s="355"/>
      <c r="CY178" s="355"/>
      <c r="CZ178" s="355"/>
      <c r="DA178" s="355"/>
      <c r="DB178" s="142"/>
      <c r="DC178" s="142"/>
      <c r="DD178" s="142"/>
      <c r="DE178" s="142"/>
      <c r="DF178" s="142">
        <f t="shared" si="145"/>
        <v>0</v>
      </c>
      <c r="DG178" s="142">
        <f t="shared" si="145"/>
        <v>0</v>
      </c>
      <c r="DH178" s="142">
        <f t="shared" si="146"/>
        <v>0</v>
      </c>
      <c r="DI178" s="142">
        <f t="shared" si="146"/>
        <v>0</v>
      </c>
      <c r="DJ178" s="142"/>
      <c r="DK178" s="142"/>
      <c r="DL178" s="142"/>
      <c r="DM178" s="142"/>
      <c r="DN178" s="142"/>
      <c r="DO178" s="142"/>
      <c r="DP178" s="142"/>
      <c r="DQ178" s="142"/>
      <c r="DR178" s="142"/>
      <c r="DS178" s="142"/>
      <c r="DT178" s="142"/>
      <c r="DU178" s="142"/>
      <c r="DV178" s="142"/>
    </row>
    <row r="179" spans="1:126" ht="16.5" customHeight="1">
      <c r="A179" s="1791" t="s">
        <v>300</v>
      </c>
      <c r="B179" s="1792" t="s">
        <v>300</v>
      </c>
      <c r="C179" s="491">
        <f t="shared" si="147"/>
        <v>0</v>
      </c>
      <c r="D179" s="590">
        <f t="shared" si="148"/>
        <v>0</v>
      </c>
      <c r="E179" s="591">
        <f t="shared" si="148"/>
        <v>0</v>
      </c>
      <c r="F179" s="460"/>
      <c r="G179" s="463"/>
      <c r="H179" s="463"/>
      <c r="I179" s="463"/>
      <c r="J179" s="463"/>
      <c r="K179" s="463"/>
      <c r="L179" s="463"/>
      <c r="M179" s="463"/>
      <c r="N179" s="463"/>
      <c r="O179" s="463"/>
      <c r="P179" s="463"/>
      <c r="Q179" s="463"/>
      <c r="R179" s="463"/>
      <c r="S179" s="463"/>
      <c r="T179" s="463"/>
      <c r="U179" s="463"/>
      <c r="V179" s="463"/>
      <c r="W179" s="463"/>
      <c r="X179" s="463"/>
      <c r="Y179" s="463"/>
      <c r="Z179" s="463"/>
      <c r="AA179" s="463"/>
      <c r="AB179" s="463"/>
      <c r="AC179" s="463"/>
      <c r="AD179" s="463"/>
      <c r="AE179" s="463"/>
      <c r="AF179" s="463"/>
      <c r="AG179" s="463"/>
      <c r="AH179" s="463"/>
      <c r="AI179" s="463"/>
      <c r="AJ179" s="463"/>
      <c r="AK179" s="463"/>
      <c r="AL179" s="463"/>
      <c r="AM179" s="463"/>
      <c r="AN179" s="463"/>
      <c r="AO179" s="463"/>
      <c r="AP179" s="463"/>
      <c r="AQ179" s="459"/>
      <c r="AR179" s="462"/>
      <c r="AS179" s="459"/>
      <c r="AT179" s="457"/>
      <c r="AU179" s="458"/>
      <c r="AV179" s="541" t="str">
        <f t="shared" si="140"/>
        <v/>
      </c>
      <c r="AW179" s="350"/>
      <c r="AX179" s="350"/>
      <c r="AY179" s="350"/>
      <c r="AZ179" s="350"/>
      <c r="BR179" s="346"/>
      <c r="BS179" s="346"/>
      <c r="BT179" s="346"/>
      <c r="BU179" s="346"/>
      <c r="CA179" s="290"/>
      <c r="CB179" s="383" t="str">
        <f t="shared" si="141"/>
        <v/>
      </c>
      <c r="CC179" s="383" t="str">
        <f t="shared" si="142"/>
        <v/>
      </c>
      <c r="CD179" s="383" t="str">
        <f t="shared" si="143"/>
        <v/>
      </c>
      <c r="CE179" s="383" t="str">
        <f t="shared" si="144"/>
        <v/>
      </c>
      <c r="CF179" s="290"/>
      <c r="CG179" s="290"/>
      <c r="CH179" s="290"/>
      <c r="CI179" s="290"/>
      <c r="CJ179" s="290"/>
      <c r="CK179" s="290"/>
      <c r="CL179" s="355"/>
      <c r="CM179" s="355"/>
      <c r="CN179" s="355"/>
      <c r="CO179" s="355"/>
      <c r="CP179" s="355"/>
      <c r="CQ179" s="355"/>
      <c r="CR179" s="355"/>
      <c r="CS179" s="355"/>
      <c r="CT179" s="355"/>
      <c r="CU179" s="355"/>
      <c r="CV179" s="355"/>
      <c r="CW179" s="355"/>
      <c r="CX179" s="355"/>
      <c r="CY179" s="355"/>
      <c r="CZ179" s="355"/>
      <c r="DA179" s="355"/>
      <c r="DB179" s="142"/>
      <c r="DC179" s="142"/>
      <c r="DD179" s="142"/>
      <c r="DE179" s="142"/>
      <c r="DF179" s="142">
        <f t="shared" si="145"/>
        <v>0</v>
      </c>
      <c r="DG179" s="142">
        <f t="shared" si="145"/>
        <v>0</v>
      </c>
      <c r="DH179" s="142">
        <f t="shared" si="146"/>
        <v>0</v>
      </c>
      <c r="DI179" s="142">
        <f t="shared" si="146"/>
        <v>0</v>
      </c>
      <c r="DJ179" s="142"/>
      <c r="DK179" s="142"/>
      <c r="DL179" s="142"/>
      <c r="DM179" s="142"/>
      <c r="DN179" s="142"/>
      <c r="DO179" s="142"/>
      <c r="DP179" s="142"/>
      <c r="DQ179" s="142"/>
      <c r="DR179" s="142"/>
      <c r="DS179" s="142"/>
      <c r="DT179" s="142"/>
      <c r="DU179" s="142"/>
      <c r="DV179" s="142"/>
    </row>
    <row r="180" spans="1:126" ht="16.5" customHeight="1">
      <c r="A180" s="1791" t="s">
        <v>301</v>
      </c>
      <c r="B180" s="1792" t="s">
        <v>301</v>
      </c>
      <c r="C180" s="491">
        <f t="shared" si="147"/>
        <v>0</v>
      </c>
      <c r="D180" s="590">
        <f t="shared" si="148"/>
        <v>0</v>
      </c>
      <c r="E180" s="591">
        <f t="shared" si="148"/>
        <v>0</v>
      </c>
      <c r="F180" s="460"/>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59"/>
      <c r="AR180" s="462"/>
      <c r="AS180" s="459"/>
      <c r="AT180" s="457"/>
      <c r="AU180" s="458"/>
      <c r="AV180" s="541" t="str">
        <f t="shared" si="140"/>
        <v/>
      </c>
      <c r="AW180" s="350"/>
      <c r="AX180" s="350"/>
      <c r="AY180" s="350"/>
      <c r="AZ180" s="350"/>
      <c r="BR180" s="346"/>
      <c r="BS180" s="346"/>
      <c r="BT180" s="346"/>
      <c r="BU180" s="346"/>
      <c r="CA180" s="290"/>
      <c r="CB180" s="383" t="str">
        <f t="shared" si="141"/>
        <v/>
      </c>
      <c r="CC180" s="383" t="str">
        <f t="shared" si="142"/>
        <v/>
      </c>
      <c r="CD180" s="383" t="str">
        <f t="shared" si="143"/>
        <v/>
      </c>
      <c r="CE180" s="383" t="str">
        <f t="shared" si="144"/>
        <v/>
      </c>
      <c r="CF180" s="290"/>
      <c r="CG180" s="290"/>
      <c r="CH180" s="290"/>
      <c r="CI180" s="290"/>
      <c r="CJ180" s="290"/>
      <c r="CK180" s="290"/>
      <c r="CL180" s="355"/>
      <c r="CM180" s="355"/>
      <c r="CN180" s="355"/>
      <c r="CO180" s="355"/>
      <c r="CP180" s="355"/>
      <c r="CQ180" s="355"/>
      <c r="CR180" s="355"/>
      <c r="CS180" s="355"/>
      <c r="CT180" s="355"/>
      <c r="CU180" s="355"/>
      <c r="CV180" s="355"/>
      <c r="CW180" s="355"/>
      <c r="CX180" s="355"/>
      <c r="CY180" s="355"/>
      <c r="CZ180" s="355"/>
      <c r="DA180" s="355"/>
      <c r="DB180" s="142"/>
      <c r="DC180" s="142"/>
      <c r="DD180" s="142"/>
      <c r="DE180" s="142"/>
      <c r="DF180" s="142">
        <f t="shared" si="145"/>
        <v>0</v>
      </c>
      <c r="DG180" s="142">
        <f t="shared" si="145"/>
        <v>0</v>
      </c>
      <c r="DH180" s="142">
        <f t="shared" si="146"/>
        <v>0</v>
      </c>
      <c r="DI180" s="142">
        <f t="shared" si="146"/>
        <v>0</v>
      </c>
      <c r="DJ180" s="142"/>
      <c r="DK180" s="142"/>
      <c r="DL180" s="142"/>
      <c r="DM180" s="142"/>
      <c r="DN180" s="142"/>
      <c r="DO180" s="142"/>
      <c r="DP180" s="142"/>
      <c r="DQ180" s="142"/>
      <c r="DR180" s="142"/>
      <c r="DS180" s="142"/>
      <c r="DT180" s="142"/>
      <c r="DU180" s="142"/>
      <c r="DV180" s="142"/>
    </row>
    <row r="181" spans="1:126" ht="16.5" customHeight="1">
      <c r="A181" s="1791" t="s">
        <v>302</v>
      </c>
      <c r="B181" s="1792" t="s">
        <v>302</v>
      </c>
      <c r="C181" s="491">
        <f t="shared" si="147"/>
        <v>0</v>
      </c>
      <c r="D181" s="590">
        <f t="shared" si="148"/>
        <v>0</v>
      </c>
      <c r="E181" s="591">
        <f t="shared" si="148"/>
        <v>0</v>
      </c>
      <c r="F181" s="460"/>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59"/>
      <c r="AR181" s="462"/>
      <c r="AS181" s="459"/>
      <c r="AT181" s="457"/>
      <c r="AU181" s="458"/>
      <c r="AV181" s="541" t="str">
        <f t="shared" si="140"/>
        <v/>
      </c>
      <c r="AW181" s="350"/>
      <c r="AX181" s="350"/>
      <c r="AY181" s="350"/>
      <c r="AZ181" s="350"/>
      <c r="BR181" s="346"/>
      <c r="BS181" s="346"/>
      <c r="BT181" s="346"/>
      <c r="BU181" s="346"/>
      <c r="CA181" s="290"/>
      <c r="CB181" s="383" t="str">
        <f t="shared" si="141"/>
        <v/>
      </c>
      <c r="CC181" s="383" t="str">
        <f t="shared" si="142"/>
        <v/>
      </c>
      <c r="CD181" s="383" t="str">
        <f t="shared" si="143"/>
        <v/>
      </c>
      <c r="CE181" s="383" t="str">
        <f t="shared" si="144"/>
        <v/>
      </c>
      <c r="CF181" s="290"/>
      <c r="CG181" s="290"/>
      <c r="CH181" s="290"/>
      <c r="CI181" s="290"/>
      <c r="CJ181" s="290"/>
      <c r="CK181" s="290"/>
      <c r="CL181" s="355"/>
      <c r="CM181" s="355"/>
      <c r="CN181" s="355"/>
      <c r="CO181" s="355"/>
      <c r="CP181" s="355"/>
      <c r="CQ181" s="355"/>
      <c r="CR181" s="355"/>
      <c r="CS181" s="355"/>
      <c r="CT181" s="355"/>
      <c r="CU181" s="355"/>
      <c r="CV181" s="355"/>
      <c r="CW181" s="355"/>
      <c r="CX181" s="355"/>
      <c r="CY181" s="355"/>
      <c r="CZ181" s="355"/>
      <c r="DA181" s="355"/>
      <c r="DB181" s="142"/>
      <c r="DC181" s="142"/>
      <c r="DD181" s="142"/>
      <c r="DE181" s="142"/>
      <c r="DF181" s="142">
        <f t="shared" si="145"/>
        <v>0</v>
      </c>
      <c r="DG181" s="142">
        <f t="shared" si="145"/>
        <v>0</v>
      </c>
      <c r="DH181" s="142">
        <f t="shared" si="146"/>
        <v>0</v>
      </c>
      <c r="DI181" s="142">
        <f t="shared" si="146"/>
        <v>0</v>
      </c>
      <c r="DJ181" s="142"/>
      <c r="DK181" s="142"/>
      <c r="DL181" s="142"/>
      <c r="DM181" s="142"/>
      <c r="DN181" s="142"/>
      <c r="DO181" s="142"/>
      <c r="DP181" s="142"/>
      <c r="DQ181" s="142"/>
      <c r="DR181" s="142"/>
      <c r="DS181" s="142"/>
      <c r="DT181" s="142"/>
      <c r="DU181" s="142"/>
      <c r="DV181" s="142"/>
    </row>
    <row r="182" spans="1:126" ht="16.5" customHeight="1">
      <c r="A182" s="1791" t="s">
        <v>303</v>
      </c>
      <c r="B182" s="1792" t="s">
        <v>303</v>
      </c>
      <c r="C182" s="491">
        <f t="shared" si="147"/>
        <v>0</v>
      </c>
      <c r="D182" s="590">
        <f t="shared" si="148"/>
        <v>0</v>
      </c>
      <c r="E182" s="591">
        <f t="shared" si="148"/>
        <v>0</v>
      </c>
      <c r="F182" s="460"/>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59"/>
      <c r="AR182" s="462"/>
      <c r="AS182" s="459"/>
      <c r="AT182" s="457"/>
      <c r="AU182" s="458"/>
      <c r="AV182" s="541" t="str">
        <f t="shared" si="140"/>
        <v/>
      </c>
      <c r="AW182" s="350"/>
      <c r="AX182" s="350"/>
      <c r="AY182" s="350"/>
      <c r="AZ182" s="350"/>
      <c r="BR182" s="346"/>
      <c r="BS182" s="346"/>
      <c r="BT182" s="346"/>
      <c r="BU182" s="346"/>
      <c r="CA182" s="290"/>
      <c r="CB182" s="383" t="str">
        <f t="shared" si="141"/>
        <v/>
      </c>
      <c r="CC182" s="383" t="str">
        <f t="shared" si="142"/>
        <v/>
      </c>
      <c r="CD182" s="383" t="str">
        <f t="shared" si="143"/>
        <v/>
      </c>
      <c r="CE182" s="383" t="str">
        <f t="shared" si="144"/>
        <v/>
      </c>
      <c r="CF182" s="290"/>
      <c r="CG182" s="290"/>
      <c r="CH182" s="290"/>
      <c r="CI182" s="290"/>
      <c r="CJ182" s="290"/>
      <c r="CK182" s="290"/>
      <c r="CL182" s="355"/>
      <c r="CM182" s="355"/>
      <c r="CN182" s="355"/>
      <c r="CO182" s="355"/>
      <c r="CP182" s="355"/>
      <c r="CQ182" s="355"/>
      <c r="CR182" s="355"/>
      <c r="CS182" s="355"/>
      <c r="CT182" s="355"/>
      <c r="CU182" s="355"/>
      <c r="CV182" s="355"/>
      <c r="CW182" s="355"/>
      <c r="CX182" s="355"/>
      <c r="CY182" s="355"/>
      <c r="CZ182" s="355"/>
      <c r="DA182" s="355"/>
      <c r="DB182" s="142"/>
      <c r="DC182" s="142"/>
      <c r="DD182" s="142"/>
      <c r="DE182" s="142"/>
      <c r="DF182" s="142">
        <f t="shared" si="145"/>
        <v>0</v>
      </c>
      <c r="DG182" s="142">
        <f t="shared" si="145"/>
        <v>0</v>
      </c>
      <c r="DH182" s="142">
        <f t="shared" si="146"/>
        <v>0</v>
      </c>
      <c r="DI182" s="142">
        <f t="shared" si="146"/>
        <v>0</v>
      </c>
      <c r="DJ182" s="142"/>
      <c r="DK182" s="142"/>
      <c r="DL182" s="142"/>
      <c r="DM182" s="142"/>
      <c r="DN182" s="142"/>
      <c r="DO182" s="142"/>
      <c r="DP182" s="142"/>
      <c r="DQ182" s="142"/>
      <c r="DR182" s="142"/>
      <c r="DS182" s="142"/>
      <c r="DT182" s="142"/>
      <c r="DU182" s="142"/>
      <c r="DV182" s="142"/>
    </row>
    <row r="183" spans="1:126" ht="16.5" customHeight="1">
      <c r="A183" s="1791" t="s">
        <v>304</v>
      </c>
      <c r="B183" s="1792" t="s">
        <v>304</v>
      </c>
      <c r="C183" s="491">
        <f t="shared" si="147"/>
        <v>0</v>
      </c>
      <c r="D183" s="590">
        <f t="shared" si="148"/>
        <v>0</v>
      </c>
      <c r="E183" s="591">
        <f t="shared" si="148"/>
        <v>0</v>
      </c>
      <c r="F183" s="460"/>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59"/>
      <c r="AR183" s="462"/>
      <c r="AS183" s="459"/>
      <c r="AT183" s="457"/>
      <c r="AU183" s="458"/>
      <c r="AV183" s="541" t="str">
        <f t="shared" si="140"/>
        <v/>
      </c>
      <c r="AW183" s="350"/>
      <c r="AX183" s="350"/>
      <c r="AY183" s="350"/>
      <c r="AZ183" s="350"/>
      <c r="BR183" s="346"/>
      <c r="BS183" s="346"/>
      <c r="BT183" s="346"/>
      <c r="BU183" s="346"/>
      <c r="CA183" s="290"/>
      <c r="CB183" s="383" t="str">
        <f t="shared" si="141"/>
        <v/>
      </c>
      <c r="CC183" s="383" t="str">
        <f t="shared" si="142"/>
        <v/>
      </c>
      <c r="CD183" s="383" t="str">
        <f t="shared" si="143"/>
        <v/>
      </c>
      <c r="CE183" s="383" t="str">
        <f t="shared" si="144"/>
        <v/>
      </c>
      <c r="CF183" s="290"/>
      <c r="CG183" s="290"/>
      <c r="CH183" s="290"/>
      <c r="CI183" s="290"/>
      <c r="CJ183" s="290"/>
      <c r="CK183" s="290"/>
      <c r="CL183" s="355"/>
      <c r="CM183" s="355"/>
      <c r="CN183" s="355"/>
      <c r="CO183" s="355"/>
      <c r="CP183" s="355"/>
      <c r="CQ183" s="355"/>
      <c r="CR183" s="355"/>
      <c r="CS183" s="355"/>
      <c r="CT183" s="355"/>
      <c r="CU183" s="355"/>
      <c r="CV183" s="355"/>
      <c r="CW183" s="355"/>
      <c r="CX183" s="355"/>
      <c r="CY183" s="355"/>
      <c r="CZ183" s="355"/>
      <c r="DA183" s="355"/>
      <c r="DB183" s="142"/>
      <c r="DC183" s="142"/>
      <c r="DD183" s="142"/>
      <c r="DE183" s="142"/>
      <c r="DF183" s="142">
        <f t="shared" si="145"/>
        <v>0</v>
      </c>
      <c r="DG183" s="142">
        <f t="shared" si="145"/>
        <v>0</v>
      </c>
      <c r="DH183" s="142">
        <f t="shared" si="146"/>
        <v>0</v>
      </c>
      <c r="DI183" s="142">
        <f t="shared" si="146"/>
        <v>0</v>
      </c>
      <c r="DJ183" s="142"/>
      <c r="DK183" s="142"/>
      <c r="DL183" s="142"/>
      <c r="DM183" s="142"/>
      <c r="DN183" s="142"/>
      <c r="DO183" s="142"/>
      <c r="DP183" s="142"/>
      <c r="DQ183" s="142"/>
      <c r="DR183" s="142"/>
      <c r="DS183" s="142"/>
      <c r="DT183" s="142"/>
      <c r="DU183" s="142"/>
      <c r="DV183" s="142"/>
    </row>
    <row r="184" spans="1:126" ht="25.5" customHeight="1">
      <c r="A184" s="1791" t="s">
        <v>346</v>
      </c>
      <c r="B184" s="1792" t="s">
        <v>350</v>
      </c>
      <c r="C184" s="491">
        <f t="shared" ref="C184:C187" si="150">SUM(D184:E184)</f>
        <v>0</v>
      </c>
      <c r="D184" s="590">
        <f t="shared" si="148"/>
        <v>0</v>
      </c>
      <c r="E184" s="591">
        <f t="shared" si="148"/>
        <v>0</v>
      </c>
      <c r="F184" s="460"/>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59"/>
      <c r="AR184" s="462"/>
      <c r="AS184" s="459"/>
      <c r="AT184" s="457"/>
      <c r="AU184" s="458"/>
      <c r="AV184" s="541" t="str">
        <f t="shared" si="140"/>
        <v/>
      </c>
      <c r="AW184" s="350"/>
      <c r="AX184" s="350"/>
      <c r="AY184" s="350"/>
      <c r="AZ184" s="350"/>
      <c r="BR184" s="346"/>
      <c r="BS184" s="346"/>
      <c r="BT184" s="346"/>
      <c r="BU184" s="346"/>
      <c r="CA184" s="290"/>
      <c r="CB184" s="383" t="str">
        <f t="shared" si="141"/>
        <v/>
      </c>
      <c r="CC184" s="383" t="str">
        <f t="shared" si="142"/>
        <v/>
      </c>
      <c r="CD184" s="383" t="str">
        <f t="shared" si="143"/>
        <v/>
      </c>
      <c r="CE184" s="383" t="str">
        <f t="shared" si="144"/>
        <v/>
      </c>
      <c r="CF184" s="290"/>
      <c r="CG184" s="290"/>
      <c r="CH184" s="290"/>
      <c r="CI184" s="290"/>
      <c r="CJ184" s="290"/>
      <c r="CK184" s="290"/>
      <c r="CL184" s="355"/>
      <c r="CM184" s="355"/>
      <c r="CN184" s="355"/>
      <c r="CO184" s="355"/>
      <c r="CP184" s="355"/>
      <c r="CQ184" s="355"/>
      <c r="CR184" s="355"/>
      <c r="CS184" s="355"/>
      <c r="CT184" s="355"/>
      <c r="CU184" s="355"/>
      <c r="CV184" s="355"/>
      <c r="CW184" s="355"/>
      <c r="CX184" s="355"/>
      <c r="CY184" s="355"/>
      <c r="CZ184" s="355"/>
      <c r="DA184" s="355"/>
      <c r="DB184" s="142"/>
      <c r="DC184" s="142"/>
      <c r="DD184" s="142"/>
      <c r="DE184" s="142"/>
      <c r="DF184" s="142">
        <f t="shared" si="145"/>
        <v>0</v>
      </c>
      <c r="DG184" s="142">
        <f t="shared" si="145"/>
        <v>0</v>
      </c>
      <c r="DH184" s="142">
        <f t="shared" si="146"/>
        <v>0</v>
      </c>
      <c r="DI184" s="142">
        <f t="shared" si="146"/>
        <v>0</v>
      </c>
      <c r="DJ184" s="142"/>
      <c r="DK184" s="142"/>
      <c r="DL184" s="142"/>
      <c r="DM184" s="142"/>
      <c r="DN184" s="142"/>
      <c r="DO184" s="142"/>
      <c r="DP184" s="142"/>
      <c r="DQ184" s="142"/>
      <c r="DR184" s="142"/>
      <c r="DS184" s="142"/>
      <c r="DT184" s="142"/>
      <c r="DU184" s="142"/>
      <c r="DV184" s="142"/>
    </row>
    <row r="185" spans="1:126" ht="16.5" customHeight="1">
      <c r="A185" s="1791" t="s">
        <v>305</v>
      </c>
      <c r="B185" s="1792" t="s">
        <v>306</v>
      </c>
      <c r="C185" s="491">
        <f t="shared" si="150"/>
        <v>0</v>
      </c>
      <c r="D185" s="590">
        <f t="shared" si="148"/>
        <v>0</v>
      </c>
      <c r="E185" s="591">
        <f t="shared" si="148"/>
        <v>0</v>
      </c>
      <c r="F185" s="460"/>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463"/>
      <c r="AM185" s="463"/>
      <c r="AN185" s="463"/>
      <c r="AO185" s="463"/>
      <c r="AP185" s="463"/>
      <c r="AQ185" s="459"/>
      <c r="AR185" s="462"/>
      <c r="AS185" s="459"/>
      <c r="AT185" s="457"/>
      <c r="AU185" s="458"/>
      <c r="AV185" s="541" t="str">
        <f t="shared" si="140"/>
        <v/>
      </c>
      <c r="AW185" s="350"/>
      <c r="AX185" s="350"/>
      <c r="AY185" s="350"/>
      <c r="AZ185" s="350"/>
      <c r="BR185" s="346"/>
      <c r="BS185" s="346"/>
      <c r="BT185" s="346"/>
      <c r="BU185" s="346"/>
      <c r="CA185" s="290"/>
      <c r="CB185" s="383" t="str">
        <f t="shared" si="141"/>
        <v/>
      </c>
      <c r="CC185" s="383" t="str">
        <f t="shared" si="142"/>
        <v/>
      </c>
      <c r="CD185" s="383" t="str">
        <f t="shared" si="143"/>
        <v/>
      </c>
      <c r="CE185" s="383" t="str">
        <f t="shared" si="144"/>
        <v/>
      </c>
      <c r="CF185" s="290"/>
      <c r="CG185" s="290"/>
      <c r="CH185" s="290"/>
      <c r="CI185" s="290"/>
      <c r="CJ185" s="290"/>
      <c r="CK185" s="290"/>
      <c r="CL185" s="355"/>
      <c r="CM185" s="355"/>
      <c r="CN185" s="355"/>
      <c r="CO185" s="355"/>
      <c r="CP185" s="355"/>
      <c r="CQ185" s="355"/>
      <c r="CR185" s="355"/>
      <c r="CS185" s="355"/>
      <c r="CT185" s="355"/>
      <c r="CU185" s="355"/>
      <c r="CV185" s="355"/>
      <c r="CW185" s="355"/>
      <c r="CX185" s="355"/>
      <c r="CY185" s="355"/>
      <c r="CZ185" s="355"/>
      <c r="DA185" s="355"/>
      <c r="DB185" s="142"/>
      <c r="DC185" s="142"/>
      <c r="DD185" s="142"/>
      <c r="DE185" s="142"/>
      <c r="DF185" s="142">
        <f t="shared" si="145"/>
        <v>0</v>
      </c>
      <c r="DG185" s="142">
        <f t="shared" si="145"/>
        <v>0</v>
      </c>
      <c r="DH185" s="142">
        <f t="shared" si="146"/>
        <v>0</v>
      </c>
      <c r="DI185" s="142">
        <f t="shared" si="146"/>
        <v>0</v>
      </c>
      <c r="DJ185" s="142"/>
      <c r="DK185" s="142"/>
      <c r="DL185" s="142"/>
      <c r="DM185" s="142"/>
      <c r="DN185" s="142"/>
      <c r="DO185" s="142"/>
      <c r="DP185" s="142"/>
      <c r="DQ185" s="142"/>
      <c r="DR185" s="142"/>
      <c r="DS185" s="142"/>
      <c r="DT185" s="142"/>
      <c r="DU185" s="142"/>
      <c r="DV185" s="142"/>
    </row>
    <row r="186" spans="1:126" ht="16.5" customHeight="1">
      <c r="A186" s="1791" t="s">
        <v>307</v>
      </c>
      <c r="B186" s="1792" t="s">
        <v>307</v>
      </c>
      <c r="C186" s="491">
        <f t="shared" si="150"/>
        <v>0</v>
      </c>
      <c r="D186" s="590">
        <f t="shared" si="148"/>
        <v>0</v>
      </c>
      <c r="E186" s="591">
        <f t="shared" si="148"/>
        <v>0</v>
      </c>
      <c r="F186" s="460"/>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463"/>
      <c r="AL186" s="463"/>
      <c r="AM186" s="463"/>
      <c r="AN186" s="463"/>
      <c r="AO186" s="463"/>
      <c r="AP186" s="463"/>
      <c r="AQ186" s="459"/>
      <c r="AR186" s="462"/>
      <c r="AS186" s="459"/>
      <c r="AT186" s="457"/>
      <c r="AU186" s="458"/>
      <c r="AV186" s="541" t="str">
        <f t="shared" si="140"/>
        <v/>
      </c>
      <c r="AW186" s="350"/>
      <c r="AX186" s="350"/>
      <c r="AY186" s="350"/>
      <c r="AZ186" s="350"/>
      <c r="BR186" s="346"/>
      <c r="BS186" s="346"/>
      <c r="BT186" s="346"/>
      <c r="BU186" s="346"/>
      <c r="CA186" s="290"/>
      <c r="CB186" s="383" t="str">
        <f t="shared" si="141"/>
        <v/>
      </c>
      <c r="CC186" s="383" t="str">
        <f t="shared" si="142"/>
        <v/>
      </c>
      <c r="CD186" s="383" t="str">
        <f t="shared" si="143"/>
        <v/>
      </c>
      <c r="CE186" s="383" t="str">
        <f t="shared" si="144"/>
        <v/>
      </c>
      <c r="CF186" s="290"/>
      <c r="CG186" s="290"/>
      <c r="CH186" s="290"/>
      <c r="CI186" s="290"/>
      <c r="CJ186" s="290"/>
      <c r="CK186" s="290"/>
      <c r="CL186" s="355"/>
      <c r="CM186" s="355"/>
      <c r="CN186" s="355"/>
      <c r="CO186" s="355"/>
      <c r="CP186" s="355"/>
      <c r="CQ186" s="355"/>
      <c r="CR186" s="355"/>
      <c r="CS186" s="355"/>
      <c r="CT186" s="355"/>
      <c r="CU186" s="355"/>
      <c r="CV186" s="355"/>
      <c r="CW186" s="355"/>
      <c r="CX186" s="355"/>
      <c r="CY186" s="355"/>
      <c r="CZ186" s="355"/>
      <c r="DA186" s="355"/>
      <c r="DB186" s="142"/>
      <c r="DC186" s="142"/>
      <c r="DD186" s="142"/>
      <c r="DE186" s="142"/>
      <c r="DF186" s="142">
        <f t="shared" si="145"/>
        <v>0</v>
      </c>
      <c r="DG186" s="142">
        <f t="shared" si="145"/>
        <v>0</v>
      </c>
      <c r="DH186" s="142">
        <f t="shared" si="146"/>
        <v>0</v>
      </c>
      <c r="DI186" s="142">
        <f t="shared" si="146"/>
        <v>0</v>
      </c>
      <c r="DJ186" s="142"/>
      <c r="DK186" s="142"/>
      <c r="DL186" s="142"/>
      <c r="DM186" s="142"/>
      <c r="DN186" s="142"/>
      <c r="DO186" s="142"/>
      <c r="DP186" s="142"/>
      <c r="DQ186" s="142"/>
      <c r="DR186" s="142"/>
      <c r="DS186" s="142"/>
      <c r="DT186" s="142"/>
      <c r="DU186" s="142"/>
      <c r="DV186" s="142"/>
    </row>
    <row r="187" spans="1:126" ht="16.5" customHeight="1">
      <c r="A187" s="1791" t="s">
        <v>308</v>
      </c>
      <c r="B187" s="1792" t="s">
        <v>308</v>
      </c>
      <c r="C187" s="491">
        <f t="shared" si="150"/>
        <v>0</v>
      </c>
      <c r="D187" s="590">
        <f t="shared" si="148"/>
        <v>0</v>
      </c>
      <c r="E187" s="591">
        <f t="shared" si="148"/>
        <v>0</v>
      </c>
      <c r="F187" s="460"/>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463"/>
      <c r="AK187" s="463"/>
      <c r="AL187" s="463"/>
      <c r="AM187" s="463"/>
      <c r="AN187" s="463"/>
      <c r="AO187" s="463"/>
      <c r="AP187" s="463"/>
      <c r="AQ187" s="459"/>
      <c r="AR187" s="462"/>
      <c r="AS187" s="459"/>
      <c r="AT187" s="457"/>
      <c r="AU187" s="458"/>
      <c r="AV187" s="541" t="str">
        <f t="shared" si="140"/>
        <v/>
      </c>
      <c r="AW187" s="350"/>
      <c r="AX187" s="350"/>
      <c r="AY187" s="350"/>
      <c r="AZ187" s="350"/>
      <c r="BR187" s="346"/>
      <c r="BS187" s="346"/>
      <c r="BT187" s="346"/>
      <c r="BU187" s="346"/>
      <c r="CA187" s="290"/>
      <c r="CB187" s="383" t="str">
        <f t="shared" si="141"/>
        <v/>
      </c>
      <c r="CC187" s="383" t="str">
        <f t="shared" si="142"/>
        <v/>
      </c>
      <c r="CD187" s="383" t="str">
        <f t="shared" si="143"/>
        <v/>
      </c>
      <c r="CE187" s="383" t="str">
        <f t="shared" si="144"/>
        <v/>
      </c>
      <c r="CF187" s="290"/>
      <c r="CG187" s="290"/>
      <c r="CH187" s="290"/>
      <c r="CI187" s="290"/>
      <c r="CJ187" s="290"/>
      <c r="CK187" s="290"/>
      <c r="CL187" s="355"/>
      <c r="CM187" s="355"/>
      <c r="CN187" s="355"/>
      <c r="CO187" s="355"/>
      <c r="CP187" s="355"/>
      <c r="CQ187" s="355"/>
      <c r="CR187" s="355"/>
      <c r="CS187" s="355"/>
      <c r="CT187" s="355"/>
      <c r="CU187" s="355"/>
      <c r="CV187" s="355"/>
      <c r="CW187" s="355"/>
      <c r="CX187" s="355"/>
      <c r="CY187" s="355"/>
      <c r="CZ187" s="355"/>
      <c r="DA187" s="355"/>
      <c r="DB187" s="142"/>
      <c r="DC187" s="142"/>
      <c r="DD187" s="142"/>
      <c r="DE187" s="142"/>
      <c r="DF187" s="142">
        <f t="shared" si="145"/>
        <v>0</v>
      </c>
      <c r="DG187" s="142">
        <f t="shared" si="145"/>
        <v>0</v>
      </c>
      <c r="DH187" s="142">
        <f t="shared" si="146"/>
        <v>0</v>
      </c>
      <c r="DI187" s="142">
        <f t="shared" si="146"/>
        <v>0</v>
      </c>
      <c r="DJ187" s="142"/>
      <c r="DK187" s="142"/>
      <c r="DL187" s="142"/>
      <c r="DM187" s="142"/>
      <c r="DN187" s="142"/>
      <c r="DO187" s="142"/>
      <c r="DP187" s="142"/>
      <c r="DQ187" s="142"/>
      <c r="DR187" s="142"/>
      <c r="DS187" s="142"/>
      <c r="DT187" s="142"/>
      <c r="DU187" s="142"/>
      <c r="DV187" s="142"/>
    </row>
    <row r="188" spans="1:126" ht="16.5" customHeight="1">
      <c r="A188" s="1791" t="s">
        <v>309</v>
      </c>
      <c r="B188" s="1792" t="s">
        <v>309</v>
      </c>
      <c r="C188" s="491">
        <f t="shared" si="147"/>
        <v>0</v>
      </c>
      <c r="D188" s="590">
        <f t="shared" si="148"/>
        <v>0</v>
      </c>
      <c r="E188" s="591">
        <f t="shared" si="148"/>
        <v>0</v>
      </c>
      <c r="F188" s="460"/>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59"/>
      <c r="AR188" s="462"/>
      <c r="AS188" s="459"/>
      <c r="AT188" s="457"/>
      <c r="AU188" s="458"/>
      <c r="AV188" s="541" t="str">
        <f t="shared" si="140"/>
        <v/>
      </c>
      <c r="AW188" s="350"/>
      <c r="AX188" s="350"/>
      <c r="AY188" s="350"/>
      <c r="AZ188" s="350"/>
      <c r="BR188" s="346"/>
      <c r="BS188" s="346"/>
      <c r="BT188" s="346"/>
      <c r="BU188" s="346"/>
      <c r="CA188" s="290"/>
      <c r="CB188" s="383" t="str">
        <f t="shared" si="141"/>
        <v/>
      </c>
      <c r="CC188" s="383" t="str">
        <f t="shared" si="142"/>
        <v/>
      </c>
      <c r="CD188" s="383" t="str">
        <f t="shared" si="143"/>
        <v/>
      </c>
      <c r="CE188" s="383" t="str">
        <f t="shared" si="144"/>
        <v/>
      </c>
      <c r="CF188" s="290"/>
      <c r="CG188" s="290"/>
      <c r="CH188" s="290"/>
      <c r="CI188" s="290"/>
      <c r="CJ188" s="290"/>
      <c r="CK188" s="290"/>
      <c r="CL188" s="355"/>
      <c r="CM188" s="355"/>
      <c r="CN188" s="355"/>
      <c r="CO188" s="355"/>
      <c r="CP188" s="355"/>
      <c r="CQ188" s="355"/>
      <c r="CR188" s="355"/>
      <c r="CS188" s="355"/>
      <c r="CT188" s="355"/>
      <c r="CU188" s="355"/>
      <c r="CV188" s="355"/>
      <c r="CW188" s="355"/>
      <c r="CX188" s="355"/>
      <c r="CY188" s="355"/>
      <c r="CZ188" s="355"/>
      <c r="DA188" s="355"/>
      <c r="DB188" s="142"/>
      <c r="DC188" s="142"/>
      <c r="DD188" s="142"/>
      <c r="DE188" s="142"/>
      <c r="DF188" s="142">
        <f t="shared" si="145"/>
        <v>0</v>
      </c>
      <c r="DG188" s="142">
        <f t="shared" si="145"/>
        <v>0</v>
      </c>
      <c r="DH188" s="142">
        <f t="shared" si="146"/>
        <v>0</v>
      </c>
      <c r="DI188" s="142">
        <f t="shared" si="146"/>
        <v>0</v>
      </c>
      <c r="DJ188" s="142"/>
      <c r="DK188" s="142"/>
      <c r="DL188" s="142"/>
      <c r="DM188" s="142"/>
      <c r="DN188" s="142"/>
      <c r="DO188" s="142"/>
      <c r="DP188" s="142"/>
      <c r="DQ188" s="142"/>
      <c r="DR188" s="142"/>
      <c r="DS188" s="142"/>
      <c r="DT188" s="142"/>
      <c r="DU188" s="142"/>
      <c r="DV188" s="142"/>
    </row>
    <row r="189" spans="1:126" ht="16.5" customHeight="1">
      <c r="A189" s="1791" t="s">
        <v>310</v>
      </c>
      <c r="B189" s="1792" t="s">
        <v>310</v>
      </c>
      <c r="C189" s="606">
        <f t="shared" si="147"/>
        <v>0</v>
      </c>
      <c r="D189" s="607">
        <f t="shared" si="148"/>
        <v>0</v>
      </c>
      <c r="E189" s="608">
        <f t="shared" si="148"/>
        <v>0</v>
      </c>
      <c r="F189" s="405"/>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4"/>
      <c r="AR189" s="408"/>
      <c r="AS189" s="404"/>
      <c r="AT189" s="401"/>
      <c r="AU189" s="403"/>
      <c r="AV189" s="541" t="str">
        <f t="shared" si="140"/>
        <v/>
      </c>
      <c r="AW189" s="350"/>
      <c r="AX189" s="350"/>
      <c r="AY189" s="350"/>
      <c r="AZ189" s="350"/>
      <c r="BR189" s="346"/>
      <c r="BS189" s="346"/>
      <c r="BT189" s="346"/>
      <c r="BU189" s="346"/>
      <c r="CA189" s="290"/>
      <c r="CB189" s="383" t="str">
        <f t="shared" si="141"/>
        <v/>
      </c>
      <c r="CC189" s="383" t="str">
        <f t="shared" si="142"/>
        <v/>
      </c>
      <c r="CD189" s="383" t="str">
        <f t="shared" si="143"/>
        <v/>
      </c>
      <c r="CE189" s="383" t="str">
        <f t="shared" si="144"/>
        <v/>
      </c>
      <c r="CF189" s="290"/>
      <c r="CG189" s="290"/>
      <c r="CH189" s="290"/>
      <c r="CI189" s="290"/>
      <c r="CJ189" s="290"/>
      <c r="CK189" s="290"/>
      <c r="CL189" s="355"/>
      <c r="CM189" s="355"/>
      <c r="CN189" s="355"/>
      <c r="CO189" s="355"/>
      <c r="CP189" s="355"/>
      <c r="CQ189" s="355"/>
      <c r="CR189" s="355"/>
      <c r="CS189" s="355"/>
      <c r="CT189" s="355"/>
      <c r="CU189" s="355"/>
      <c r="CV189" s="355"/>
      <c r="CW189" s="355"/>
      <c r="CX189" s="355"/>
      <c r="CY189" s="355"/>
      <c r="CZ189" s="355"/>
      <c r="DA189" s="355"/>
      <c r="DB189" s="142"/>
      <c r="DC189" s="142"/>
      <c r="DD189" s="142"/>
      <c r="DE189" s="142"/>
      <c r="DF189" s="142">
        <f t="shared" si="145"/>
        <v>0</v>
      </c>
      <c r="DG189" s="142">
        <f t="shared" si="145"/>
        <v>0</v>
      </c>
      <c r="DH189" s="142">
        <f t="shared" si="146"/>
        <v>0</v>
      </c>
      <c r="DI189" s="142">
        <f t="shared" si="146"/>
        <v>0</v>
      </c>
      <c r="DJ189" s="142"/>
      <c r="DK189" s="142"/>
      <c r="DL189" s="142"/>
      <c r="DM189" s="142"/>
      <c r="DN189" s="142"/>
      <c r="DO189" s="142"/>
      <c r="DP189" s="142"/>
      <c r="DQ189" s="142"/>
      <c r="DR189" s="142"/>
      <c r="DS189" s="142"/>
      <c r="DT189" s="142"/>
      <c r="DU189" s="142"/>
      <c r="DV189" s="142"/>
    </row>
    <row r="190" spans="1:126" ht="27" customHeight="1">
      <c r="A190" s="518" t="s">
        <v>311</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381"/>
    </row>
    <row r="191" spans="1:126" ht="19.5" customHeight="1">
      <c r="A191" s="1758" t="s">
        <v>312</v>
      </c>
      <c r="B191" s="1785"/>
      <c r="C191" s="1764" t="s">
        <v>5</v>
      </c>
      <c r="D191" s="1765"/>
      <c r="E191" s="1766"/>
      <c r="F191" s="1770" t="s">
        <v>197</v>
      </c>
      <c r="G191" s="1771"/>
      <c r="H191" s="1771"/>
      <c r="I191" s="1771"/>
      <c r="J191" s="1771"/>
      <c r="K191" s="1771"/>
      <c r="L191" s="1771"/>
      <c r="M191" s="1771"/>
      <c r="N191" s="1771"/>
      <c r="O191" s="1771"/>
      <c r="P191" s="1771"/>
      <c r="Q191" s="1771"/>
      <c r="R191" s="1771"/>
      <c r="S191" s="1771"/>
      <c r="T191" s="1771"/>
      <c r="U191" s="1771"/>
      <c r="V191" s="1771"/>
      <c r="W191" s="1771"/>
      <c r="X191" s="1771"/>
      <c r="Y191" s="1771"/>
      <c r="Z191" s="1771"/>
      <c r="AA191" s="1771"/>
      <c r="AB191" s="1771"/>
      <c r="AC191" s="1771"/>
      <c r="AD191" s="1771"/>
      <c r="AE191" s="1771"/>
      <c r="AF191" s="1771"/>
      <c r="AG191" s="1771"/>
      <c r="AH191" s="1771"/>
      <c r="AI191" s="1771"/>
      <c r="AJ191" s="1771"/>
      <c r="AK191" s="1771"/>
      <c r="AL191" s="1771"/>
      <c r="AM191" s="1771"/>
      <c r="AN191" s="1771"/>
      <c r="AO191" s="1771"/>
      <c r="AP191" s="1771"/>
      <c r="AQ191" s="1790"/>
      <c r="AR191" s="1704" t="s">
        <v>7</v>
      </c>
      <c r="AS191" s="1704"/>
      <c r="AT191" s="1704" t="s">
        <v>261</v>
      </c>
      <c r="AU191" s="1704"/>
      <c r="AV191" s="381"/>
      <c r="AW191" s="5"/>
      <c r="AX191" s="5"/>
      <c r="AY191" s="5"/>
      <c r="AZ191" s="5"/>
      <c r="BR191" s="346"/>
      <c r="BS191" s="346"/>
      <c r="BT191" s="346"/>
      <c r="BU191" s="346"/>
    </row>
    <row r="192" spans="1:126" ht="19.5" customHeight="1">
      <c r="A192" s="1786"/>
      <c r="B192" s="1787"/>
      <c r="C192" s="1767"/>
      <c r="D192" s="1768"/>
      <c r="E192" s="1769"/>
      <c r="F192" s="1756" t="s">
        <v>164</v>
      </c>
      <c r="G192" s="1757"/>
      <c r="H192" s="1756" t="s">
        <v>165</v>
      </c>
      <c r="I192" s="1757"/>
      <c r="J192" s="1756" t="s">
        <v>166</v>
      </c>
      <c r="K192" s="1757"/>
      <c r="L192" s="1756" t="s">
        <v>167</v>
      </c>
      <c r="M192" s="1757"/>
      <c r="N192" s="1756" t="s">
        <v>168</v>
      </c>
      <c r="O192" s="1757"/>
      <c r="P192" s="1756" t="s">
        <v>169</v>
      </c>
      <c r="Q192" s="1757"/>
      <c r="R192" s="1756" t="s">
        <v>170</v>
      </c>
      <c r="S192" s="1757"/>
      <c r="T192" s="1756" t="s">
        <v>171</v>
      </c>
      <c r="U192" s="1757"/>
      <c r="V192" s="1756" t="s">
        <v>172</v>
      </c>
      <c r="W192" s="1757"/>
      <c r="X192" s="1756" t="s">
        <v>173</v>
      </c>
      <c r="Y192" s="1757"/>
      <c r="Z192" s="1756" t="s">
        <v>174</v>
      </c>
      <c r="AA192" s="1757"/>
      <c r="AB192" s="1756" t="s">
        <v>175</v>
      </c>
      <c r="AC192" s="1757"/>
      <c r="AD192" s="1756" t="s">
        <v>176</v>
      </c>
      <c r="AE192" s="1757"/>
      <c r="AF192" s="1756" t="s">
        <v>177</v>
      </c>
      <c r="AG192" s="1757"/>
      <c r="AH192" s="1776" t="s">
        <v>198</v>
      </c>
      <c r="AI192" s="1757"/>
      <c r="AJ192" s="1756" t="s">
        <v>262</v>
      </c>
      <c r="AK192" s="1757"/>
      <c r="AL192" s="1756" t="s">
        <v>263</v>
      </c>
      <c r="AM192" s="1757"/>
      <c r="AN192" s="1776" t="s">
        <v>264</v>
      </c>
      <c r="AO192" s="1757"/>
      <c r="AP192" s="1756" t="s">
        <v>13</v>
      </c>
      <c r="AQ192" s="1793"/>
      <c r="AR192" s="1704"/>
      <c r="AS192" s="1704"/>
      <c r="AT192" s="1704"/>
      <c r="AU192" s="1704"/>
      <c r="AV192" s="381"/>
      <c r="AW192" s="5"/>
      <c r="AX192" s="5"/>
      <c r="AY192" s="5"/>
      <c r="AZ192" s="5"/>
      <c r="BR192" s="346"/>
      <c r="BS192" s="346"/>
      <c r="BT192" s="346"/>
      <c r="BU192" s="346"/>
    </row>
    <row r="193" spans="1:126" ht="28.5" customHeight="1">
      <c r="A193" s="1788"/>
      <c r="B193" s="1789"/>
      <c r="C193" s="358" t="s">
        <v>178</v>
      </c>
      <c r="D193" s="359" t="s">
        <v>42</v>
      </c>
      <c r="E193" s="360" t="s">
        <v>179</v>
      </c>
      <c r="F193" s="359" t="s">
        <v>42</v>
      </c>
      <c r="G193" s="361" t="s">
        <v>179</v>
      </c>
      <c r="H193" s="359" t="s">
        <v>42</v>
      </c>
      <c r="I193" s="361" t="s">
        <v>179</v>
      </c>
      <c r="J193" s="359" t="s">
        <v>42</v>
      </c>
      <c r="K193" s="361" t="s">
        <v>179</v>
      </c>
      <c r="L193" s="359" t="s">
        <v>42</v>
      </c>
      <c r="M193" s="361" t="s">
        <v>179</v>
      </c>
      <c r="N193" s="359" t="s">
        <v>42</v>
      </c>
      <c r="O193" s="361" t="s">
        <v>179</v>
      </c>
      <c r="P193" s="359" t="s">
        <v>42</v>
      </c>
      <c r="Q193" s="361" t="s">
        <v>179</v>
      </c>
      <c r="R193" s="359" t="s">
        <v>42</v>
      </c>
      <c r="S193" s="361" t="s">
        <v>179</v>
      </c>
      <c r="T193" s="359" t="s">
        <v>42</v>
      </c>
      <c r="U193" s="361" t="s">
        <v>179</v>
      </c>
      <c r="V193" s="359" t="s">
        <v>42</v>
      </c>
      <c r="W193" s="361" t="s">
        <v>179</v>
      </c>
      <c r="X193" s="359" t="s">
        <v>42</v>
      </c>
      <c r="Y193" s="361" t="s">
        <v>179</v>
      </c>
      <c r="Z193" s="359" t="s">
        <v>42</v>
      </c>
      <c r="AA193" s="361" t="s">
        <v>179</v>
      </c>
      <c r="AB193" s="359" t="s">
        <v>42</v>
      </c>
      <c r="AC193" s="361" t="s">
        <v>179</v>
      </c>
      <c r="AD193" s="359" t="s">
        <v>42</v>
      </c>
      <c r="AE193" s="361" t="s">
        <v>179</v>
      </c>
      <c r="AF193" s="359" t="s">
        <v>42</v>
      </c>
      <c r="AG193" s="361" t="s">
        <v>179</v>
      </c>
      <c r="AH193" s="480" t="s">
        <v>42</v>
      </c>
      <c r="AI193" s="479" t="s">
        <v>179</v>
      </c>
      <c r="AJ193" s="478" t="s">
        <v>42</v>
      </c>
      <c r="AK193" s="361" t="s">
        <v>179</v>
      </c>
      <c r="AL193" s="480" t="s">
        <v>42</v>
      </c>
      <c r="AM193" s="479" t="s">
        <v>179</v>
      </c>
      <c r="AN193" s="480" t="s">
        <v>42</v>
      </c>
      <c r="AO193" s="361" t="s">
        <v>179</v>
      </c>
      <c r="AP193" s="480" t="s">
        <v>42</v>
      </c>
      <c r="AQ193" s="481" t="s">
        <v>179</v>
      </c>
      <c r="AR193" s="482" t="s">
        <v>42</v>
      </c>
      <c r="AS193" s="479" t="s">
        <v>179</v>
      </c>
      <c r="AT193" s="359" t="s">
        <v>42</v>
      </c>
      <c r="AU193" s="360" t="s">
        <v>179</v>
      </c>
      <c r="AV193" s="381"/>
      <c r="AW193" s="5"/>
      <c r="AX193" s="5"/>
      <c r="AY193" s="5"/>
      <c r="AZ193" s="5"/>
      <c r="BR193" s="346"/>
      <c r="BS193" s="346"/>
      <c r="BT193" s="346"/>
      <c r="BU193" s="346"/>
    </row>
    <row r="194" spans="1:126" ht="21" customHeight="1">
      <c r="A194" s="1777" t="s">
        <v>344</v>
      </c>
      <c r="B194" s="1778"/>
      <c r="C194" s="387">
        <f>SUM(D194:E194)</f>
        <v>0</v>
      </c>
      <c r="D194" s="489">
        <f>+F194+H194+J194+L194+N194+P194+R194+T194+V194+X194+Z194+AB194+AD194+AF194+AH194+AN194+AP194+AJ194+AL194</f>
        <v>0</v>
      </c>
      <c r="E194" s="389">
        <f>+G194+I194+K194+M194+O194+Q194+S194+U194+W194+Y194+AA194+AC194+AE194+AG194+AI194+AO194+AQ194+AK194+AM194</f>
        <v>0</v>
      </c>
      <c r="F194" s="609">
        <f>SUM(F195:F197)</f>
        <v>0</v>
      </c>
      <c r="G194" s="610">
        <f>SUM(G195:G197)</f>
        <v>0</v>
      </c>
      <c r="H194" s="609">
        <f t="shared" ref="H194:AQ194" si="151">SUM(H195:H197)</f>
        <v>0</v>
      </c>
      <c r="I194" s="610">
        <f t="shared" si="151"/>
        <v>0</v>
      </c>
      <c r="J194" s="609">
        <f t="shared" si="151"/>
        <v>0</v>
      </c>
      <c r="K194" s="610">
        <f t="shared" si="151"/>
        <v>0</v>
      </c>
      <c r="L194" s="609">
        <f t="shared" si="151"/>
        <v>0</v>
      </c>
      <c r="M194" s="610">
        <f t="shared" si="151"/>
        <v>0</v>
      </c>
      <c r="N194" s="609">
        <f t="shared" si="151"/>
        <v>0</v>
      </c>
      <c r="O194" s="610">
        <f t="shared" si="151"/>
        <v>0</v>
      </c>
      <c r="P194" s="609">
        <f t="shared" si="151"/>
        <v>0</v>
      </c>
      <c r="Q194" s="610">
        <f t="shared" si="151"/>
        <v>0</v>
      </c>
      <c r="R194" s="609">
        <f t="shared" si="151"/>
        <v>0</v>
      </c>
      <c r="S194" s="610">
        <f t="shared" si="151"/>
        <v>0</v>
      </c>
      <c r="T194" s="609">
        <f t="shared" si="151"/>
        <v>0</v>
      </c>
      <c r="U194" s="610">
        <f t="shared" si="151"/>
        <v>0</v>
      </c>
      <c r="V194" s="609">
        <f t="shared" si="151"/>
        <v>0</v>
      </c>
      <c r="W194" s="610">
        <f t="shared" si="151"/>
        <v>0</v>
      </c>
      <c r="X194" s="609">
        <f t="shared" si="151"/>
        <v>0</v>
      </c>
      <c r="Y194" s="610">
        <f t="shared" si="151"/>
        <v>0</v>
      </c>
      <c r="Z194" s="609">
        <f t="shared" si="151"/>
        <v>0</v>
      </c>
      <c r="AA194" s="610">
        <f t="shared" si="151"/>
        <v>0</v>
      </c>
      <c r="AB194" s="609">
        <f t="shared" si="151"/>
        <v>0</v>
      </c>
      <c r="AC194" s="610">
        <f t="shared" si="151"/>
        <v>0</v>
      </c>
      <c r="AD194" s="609">
        <f t="shared" si="151"/>
        <v>0</v>
      </c>
      <c r="AE194" s="610">
        <f t="shared" si="151"/>
        <v>0</v>
      </c>
      <c r="AF194" s="609">
        <f t="shared" si="151"/>
        <v>0</v>
      </c>
      <c r="AG194" s="610">
        <f t="shared" si="151"/>
        <v>0</v>
      </c>
      <c r="AH194" s="609">
        <f t="shared" si="151"/>
        <v>0</v>
      </c>
      <c r="AI194" s="610">
        <f t="shared" si="151"/>
        <v>0</v>
      </c>
      <c r="AJ194" s="609">
        <f t="shared" si="151"/>
        <v>0</v>
      </c>
      <c r="AK194" s="610">
        <f t="shared" si="151"/>
        <v>0</v>
      </c>
      <c r="AL194" s="609">
        <f t="shared" si="151"/>
        <v>0</v>
      </c>
      <c r="AM194" s="610">
        <f t="shared" si="151"/>
        <v>0</v>
      </c>
      <c r="AN194" s="609">
        <f t="shared" si="151"/>
        <v>0</v>
      </c>
      <c r="AO194" s="610">
        <f t="shared" si="151"/>
        <v>0</v>
      </c>
      <c r="AP194" s="609">
        <f t="shared" si="151"/>
        <v>0</v>
      </c>
      <c r="AQ194" s="610">
        <f t="shared" si="151"/>
        <v>0</v>
      </c>
      <c r="AR194" s="611">
        <f>SUM(AR195:AR197)</f>
        <v>0</v>
      </c>
      <c r="AS194" s="610">
        <f>SUM(AS195:AS197)</f>
        <v>0</v>
      </c>
      <c r="AT194" s="425">
        <f>SUM(AT195:AT197)</f>
        <v>0</v>
      </c>
      <c r="AU194" s="610">
        <f>SUM(AU195:AU197)</f>
        <v>0</v>
      </c>
      <c r="AV194" s="541"/>
      <c r="BR194" s="346"/>
      <c r="BS194" s="346"/>
      <c r="BT194" s="346"/>
      <c r="BU194" s="346"/>
      <c r="CA194" s="290"/>
      <c r="CB194" s="290"/>
      <c r="CC194" s="290"/>
      <c r="CD194" s="290"/>
      <c r="CE194" s="290"/>
      <c r="CF194" s="290"/>
      <c r="CG194" s="290"/>
      <c r="CH194" s="290"/>
      <c r="CI194" s="290"/>
      <c r="CJ194" s="290"/>
      <c r="CK194" s="290"/>
      <c r="CL194" s="355"/>
      <c r="CM194" s="355"/>
      <c r="CN194" s="355"/>
      <c r="CO194" s="355"/>
      <c r="CP194" s="355"/>
      <c r="CQ194" s="355"/>
      <c r="CR194" s="355"/>
      <c r="CS194" s="355"/>
      <c r="CT194" s="355"/>
      <c r="CU194" s="355"/>
      <c r="CV194" s="355"/>
      <c r="CW194" s="355"/>
      <c r="CX194" s="355"/>
      <c r="CY194" s="355"/>
      <c r="CZ194" s="355"/>
      <c r="DA194" s="355"/>
      <c r="DB194" s="142"/>
      <c r="DC194" s="142"/>
      <c r="DD194" s="142"/>
      <c r="DE194" s="142"/>
      <c r="DF194" s="142">
        <f t="shared" ref="DF194:DG197" si="152">IF(AND(D194&gt;0,AR194=""),1,IF(AR194&gt;D194,1,0))</f>
        <v>0</v>
      </c>
      <c r="DG194" s="142">
        <f t="shared" si="152"/>
        <v>0</v>
      </c>
      <c r="DH194" s="142">
        <f t="shared" ref="DH194:DI197" si="153">IF(AND(D194&gt;0,AT194=""),1,IF(AT194&gt;D194,1,0))</f>
        <v>0</v>
      </c>
      <c r="DI194" s="142">
        <f t="shared" si="153"/>
        <v>0</v>
      </c>
      <c r="DJ194" s="142"/>
      <c r="DK194" s="142"/>
      <c r="DL194" s="142"/>
      <c r="DM194" s="142"/>
      <c r="DN194" s="142"/>
      <c r="DO194" s="142"/>
      <c r="DP194" s="142"/>
      <c r="DQ194" s="142"/>
      <c r="DR194" s="142"/>
      <c r="DS194" s="142"/>
      <c r="DT194" s="142"/>
      <c r="DU194" s="142"/>
      <c r="DV194" s="142"/>
    </row>
    <row r="195" spans="1:126" ht="21.75" customHeight="1">
      <c r="A195" s="1779" t="s">
        <v>315</v>
      </c>
      <c r="B195" s="1780"/>
      <c r="C195" s="387">
        <f>SUM(D195:E195)</f>
        <v>0</v>
      </c>
      <c r="D195" s="489">
        <f>+F195+H195+J195+L195+N195+P195+R195+T195+V195+X195+Z195+AB195+AD195+AF195+AH195+AN195+AP195+AJ195+AL195</f>
        <v>0</v>
      </c>
      <c r="E195" s="389">
        <f>+G195+I195+K195+M195+O195+Q195+S195+U195+W195+Y195+AA195+AC195+AE195+AG195+AI195+AO195+AQ195+AK195+AM195</f>
        <v>0</v>
      </c>
      <c r="F195" s="390"/>
      <c r="G195" s="392"/>
      <c r="H195" s="390"/>
      <c r="I195" s="392"/>
      <c r="J195" s="390"/>
      <c r="K195" s="392"/>
      <c r="L195" s="390"/>
      <c r="M195" s="393"/>
      <c r="N195" s="390"/>
      <c r="O195" s="392"/>
      <c r="P195" s="390"/>
      <c r="Q195" s="392"/>
      <c r="R195" s="394"/>
      <c r="S195" s="392"/>
      <c r="T195" s="390"/>
      <c r="U195" s="393"/>
      <c r="V195" s="390"/>
      <c r="W195" s="392"/>
      <c r="X195" s="390"/>
      <c r="Y195" s="392"/>
      <c r="Z195" s="390"/>
      <c r="AA195" s="392"/>
      <c r="AB195" s="390"/>
      <c r="AC195" s="395"/>
      <c r="AD195" s="390"/>
      <c r="AE195" s="392"/>
      <c r="AF195" s="390"/>
      <c r="AG195" s="393"/>
      <c r="AH195" s="390"/>
      <c r="AI195" s="393"/>
      <c r="AJ195" s="390"/>
      <c r="AK195" s="393"/>
      <c r="AL195" s="390"/>
      <c r="AM195" s="392"/>
      <c r="AN195" s="394"/>
      <c r="AO195" s="393"/>
      <c r="AP195" s="390"/>
      <c r="AQ195" s="612"/>
      <c r="AR195" s="397"/>
      <c r="AS195" s="392"/>
      <c r="AT195" s="390"/>
      <c r="AU195" s="392"/>
      <c r="AV195" s="541" t="str">
        <f>CB195&amp;CC195&amp;CD195&amp;CE195</f>
        <v/>
      </c>
      <c r="AW195" s="350"/>
      <c r="AX195" s="350"/>
      <c r="AY195" s="350"/>
      <c r="AZ195" s="350"/>
      <c r="BR195" s="346"/>
      <c r="BS195" s="346"/>
      <c r="BT195" s="346"/>
      <c r="BU195" s="346"/>
      <c r="CA195" s="290"/>
      <c r="CB195" s="383" t="str">
        <f>IF(AND(D195&gt;0,AR195="")," * No olvide digitar la variable Pueblos Originarios hombres (Digite Cero si no tiene).",IF(AR195&gt;D195," * La variable Pueblos Originarios hombres  no debe ser mayor que el Total de Hombres.",""))</f>
        <v/>
      </c>
      <c r="CC195" s="383" t="str">
        <f>IF(AND(E195&gt;0,AS195="")," * No olvide digitar la variable Pueblos Originarios Mujeres (Digite Cero si no tiene). Digite Cero si no tiene.",IF(AS195&gt;E195," * La variable Pueblos Originarios Mujeres no debe ser mayor que el Total de Mujeres",""))</f>
        <v/>
      </c>
      <c r="CD195" s="383" t="str">
        <f>IF(AND(D195&gt;0,AT195="")," * No olvide digitar la variable Migrantes hombres (Digite Cero si no tiene).",IF(AT195&gt;D195," * La variable Migrantes hombres  no debe ser mayor que el Total de Hombres",""))</f>
        <v/>
      </c>
      <c r="CE195" s="383" t="str">
        <f>IF(AND(E195&gt;0,AU195="")," * No olvide digitar la variable Migrantes Mujeres (Digite Cero si no tiene).",IF(AU195&gt;E195," * La variable Migrantes Mujeres no debe ser mayor que el Total de Mujeres",""))</f>
        <v/>
      </c>
      <c r="CF195" s="290"/>
      <c r="CG195" s="290"/>
      <c r="CH195" s="290" t="str">
        <f>IF(AND(D195&gt;0,AF195="")," * No olvide digitar la variable Niños, Niñas, adolescentes y jóvenes Mejor Niñez hombres (Digite Cero si no tiene).",IF(AF195&gt;D195," * La variable Niños, Niñas, adolescentes y jóvenes Mejor Niñez hombres  no debe ser mayor que el Total de Hombres",""))</f>
        <v/>
      </c>
      <c r="CI195" s="290" t="str">
        <f>IF(AND(E195&gt;0,AG195="")," * No olvide digitar la variable Niños, Niñas, adolescentes y jóvenes Mejor Niñez Mujeres (Digite Cero si no tiene).",IF(AG195&gt;E195," * La variable Niños, Niñas, adolescentes y jóvenes Mejor Niñez Mujeres no debe ser mayor que el Total de Mujeres",""))</f>
        <v/>
      </c>
      <c r="CJ195" s="290"/>
      <c r="CK195" s="290"/>
      <c r="CL195" s="355"/>
      <c r="CM195" s="355"/>
      <c r="CN195" s="355"/>
      <c r="CO195" s="355"/>
      <c r="CP195" s="355"/>
      <c r="CQ195" s="355"/>
      <c r="CR195" s="355"/>
      <c r="CS195" s="355"/>
      <c r="CT195" s="355"/>
      <c r="CU195" s="355"/>
      <c r="CV195" s="355"/>
      <c r="CW195" s="355"/>
      <c r="CX195" s="355"/>
      <c r="CY195" s="355"/>
      <c r="CZ195" s="355"/>
      <c r="DA195" s="355"/>
      <c r="DB195" s="142"/>
      <c r="DC195" s="142"/>
      <c r="DD195" s="142"/>
      <c r="DE195" s="142"/>
      <c r="DF195" s="142">
        <f t="shared" si="152"/>
        <v>0</v>
      </c>
      <c r="DG195" s="142">
        <f t="shared" si="152"/>
        <v>0</v>
      </c>
      <c r="DH195" s="142">
        <f t="shared" si="153"/>
        <v>0</v>
      </c>
      <c r="DI195" s="142">
        <f t="shared" si="153"/>
        <v>0</v>
      </c>
      <c r="DJ195" s="142"/>
      <c r="DK195" s="142"/>
      <c r="DL195" s="142"/>
      <c r="DM195" s="142"/>
      <c r="DN195" s="142"/>
      <c r="DO195" s="142"/>
      <c r="DP195" s="142"/>
      <c r="DQ195" s="142"/>
      <c r="DR195" s="142"/>
      <c r="DS195" s="142"/>
      <c r="DT195" s="142"/>
      <c r="DU195" s="142"/>
      <c r="DV195" s="142"/>
    </row>
    <row r="196" spans="1:126" ht="16.5" customHeight="1">
      <c r="A196" s="1781" t="s">
        <v>314</v>
      </c>
      <c r="B196" s="1782"/>
      <c r="C196" s="543">
        <f t="shared" ref="C196:C197" si="154">SUM(D196:E196)</f>
        <v>0</v>
      </c>
      <c r="D196" s="491">
        <f t="shared" ref="D196:E197" si="155">+F196+H196+J196+L196+N196+P196+R196+T196+V196+X196+Z196+AB196+AD196+AF196+AH196+AN196+AP196+AJ196+AL196</f>
        <v>0</v>
      </c>
      <c r="E196" s="454">
        <f t="shared" si="155"/>
        <v>0</v>
      </c>
      <c r="F196" s="457"/>
      <c r="G196" s="458"/>
      <c r="H196" s="457"/>
      <c r="I196" s="458"/>
      <c r="J196" s="457"/>
      <c r="K196" s="458"/>
      <c r="L196" s="457"/>
      <c r="M196" s="459"/>
      <c r="N196" s="457"/>
      <c r="O196" s="458"/>
      <c r="P196" s="457"/>
      <c r="Q196" s="458"/>
      <c r="R196" s="460"/>
      <c r="S196" s="458"/>
      <c r="T196" s="457"/>
      <c r="U196" s="459"/>
      <c r="V196" s="457"/>
      <c r="W196" s="458"/>
      <c r="X196" s="457"/>
      <c r="Y196" s="458"/>
      <c r="Z196" s="457"/>
      <c r="AA196" s="458"/>
      <c r="AB196" s="457"/>
      <c r="AC196" s="613"/>
      <c r="AD196" s="457"/>
      <c r="AE196" s="458"/>
      <c r="AF196" s="457"/>
      <c r="AG196" s="459"/>
      <c r="AH196" s="457"/>
      <c r="AI196" s="459"/>
      <c r="AJ196" s="457"/>
      <c r="AK196" s="459"/>
      <c r="AL196" s="457"/>
      <c r="AM196" s="458"/>
      <c r="AN196" s="460"/>
      <c r="AO196" s="459"/>
      <c r="AP196" s="457"/>
      <c r="AQ196" s="614"/>
      <c r="AR196" s="462"/>
      <c r="AS196" s="458"/>
      <c r="AT196" s="457"/>
      <c r="AU196" s="458"/>
      <c r="AV196" s="541" t="str">
        <f>CB196&amp;CC196&amp;CD196&amp;CE196</f>
        <v/>
      </c>
      <c r="AW196" s="350"/>
      <c r="AX196" s="350"/>
      <c r="AY196" s="350"/>
      <c r="AZ196" s="350"/>
      <c r="BR196" s="346"/>
      <c r="BS196" s="346"/>
      <c r="BT196" s="346"/>
      <c r="BU196" s="346"/>
      <c r="CA196" s="290"/>
      <c r="CB196" s="383" t="str">
        <f t="shared" ref="CB196:CB197" si="156">IF(AND(D196&gt;0,AR196="")," * No olvide digitar la variable Pueblos Originarios hombres (Digite Cero si no tiene).",IF(AR196&gt;D196," * La variable Pueblos Originarios hombres  no debe ser mayor que el Total de Hombres.",""))</f>
        <v/>
      </c>
      <c r="CC196" s="383" t="str">
        <f t="shared" ref="CC196:CC197" si="157">IF(AND(E196&gt;0,AS196="")," * No olvide digitar la variable Pueblos Originarios Mujeres (Digite Cero si no tiene). Digite Cero si no tiene.",IF(AS196&gt;E196," * La variable Pueblos Originarios Mujeres no debe ser mayor que el Total de Mujeres",""))</f>
        <v/>
      </c>
      <c r="CD196" s="383" t="str">
        <f t="shared" ref="CD196:CD197" si="158">IF(AND(D196&gt;0,AT196="")," * No olvide digitar la variable Migrantes hombres (Digite Cero si no tiene).",IF(AT196&gt;D196," * La variable Migrantes hombres  no debe ser mayor que el Total de Hombres",""))</f>
        <v/>
      </c>
      <c r="CE196" s="383" t="str">
        <f>IF(AND(E196&gt;0,AU196="")," * No olvide digitar la variable Migrantes Mujeres (Digite Cero si no tiene).",IF(AU196&gt;E196," * La variable Migrantes Mujeres no debe ser mayor que el Total de Mujeres",""))</f>
        <v/>
      </c>
      <c r="CF196" s="290"/>
      <c r="CG196" s="290"/>
      <c r="CH196" s="290" t="str">
        <f t="shared" ref="CH196:CH197" si="159">IF(AND(D196&gt;0,AF196="")," * No olvide digitar la variable Niños, Niñas, adolescentes y jóvenes Mejor Niñez hombres (Digite Cero si no tiene).",IF(AF196&gt;D196," * La variable Niños, Niñas, adolescentes y jóvenes Mejor Niñez hombres  no debe ser mayor que el Total de Hombres",""))</f>
        <v/>
      </c>
      <c r="CI196" s="290" t="str">
        <f t="shared" ref="CI196:CI197" si="160">IF(AND(E196&gt;0,AG196="")," * No olvide digitar la variable Niños, Niñas, adolescentes y jóvenes Mejor Niñez Mujeres (Digite Cero si no tiene).",IF(AG196&gt;E196," * La variable Niños, Niñas, adolescentes y jóvenes Mejor Niñez Mujeres no debe ser mayor que el Total de Mujeres",""))</f>
        <v/>
      </c>
      <c r="CJ196" s="290"/>
      <c r="CK196" s="290"/>
      <c r="CL196" s="355"/>
      <c r="CM196" s="355"/>
      <c r="CN196" s="355"/>
      <c r="CO196" s="355"/>
      <c r="CP196" s="355"/>
      <c r="CQ196" s="355"/>
      <c r="CR196" s="355"/>
      <c r="CS196" s="355"/>
      <c r="CT196" s="355"/>
      <c r="CU196" s="355"/>
      <c r="CV196" s="355"/>
      <c r="CW196" s="355"/>
      <c r="CX196" s="355"/>
      <c r="CY196" s="355"/>
      <c r="CZ196" s="355"/>
      <c r="DA196" s="355"/>
      <c r="DB196" s="142"/>
      <c r="DC196" s="142"/>
      <c r="DD196" s="142"/>
      <c r="DE196" s="142"/>
      <c r="DF196" s="142">
        <f t="shared" si="152"/>
        <v>0</v>
      </c>
      <c r="DG196" s="142">
        <f t="shared" si="152"/>
        <v>0</v>
      </c>
      <c r="DH196" s="142">
        <f t="shared" si="153"/>
        <v>0</v>
      </c>
      <c r="DI196" s="142">
        <f t="shared" si="153"/>
        <v>0</v>
      </c>
      <c r="DJ196" s="142"/>
      <c r="DK196" s="142"/>
      <c r="DL196" s="142"/>
      <c r="DM196" s="142"/>
      <c r="DN196" s="142"/>
      <c r="DO196" s="142"/>
      <c r="DP196" s="142"/>
      <c r="DQ196" s="142"/>
      <c r="DR196" s="142"/>
      <c r="DS196" s="142"/>
      <c r="DT196" s="142"/>
      <c r="DU196" s="142"/>
      <c r="DV196" s="142"/>
    </row>
    <row r="197" spans="1:126" ht="16.5" customHeight="1">
      <c r="A197" s="1783" t="s">
        <v>313</v>
      </c>
      <c r="B197" s="1784"/>
      <c r="C197" s="547">
        <f t="shared" si="154"/>
        <v>0</v>
      </c>
      <c r="D197" s="606">
        <f t="shared" si="155"/>
        <v>0</v>
      </c>
      <c r="E197" s="615">
        <f t="shared" si="155"/>
        <v>0</v>
      </c>
      <c r="F197" s="369"/>
      <c r="G197" s="371"/>
      <c r="H197" s="369"/>
      <c r="I197" s="371"/>
      <c r="J197" s="369"/>
      <c r="K197" s="371"/>
      <c r="L197" s="369"/>
      <c r="M197" s="371"/>
      <c r="N197" s="369"/>
      <c r="O197" s="371"/>
      <c r="P197" s="369"/>
      <c r="Q197" s="371"/>
      <c r="R197" s="369"/>
      <c r="S197" s="371"/>
      <c r="T197" s="369"/>
      <c r="U197" s="371"/>
      <c r="V197" s="369"/>
      <c r="W197" s="371"/>
      <c r="X197" s="369"/>
      <c r="Y197" s="371"/>
      <c r="Z197" s="369"/>
      <c r="AA197" s="371"/>
      <c r="AB197" s="369"/>
      <c r="AC197" s="371"/>
      <c r="AD197" s="369"/>
      <c r="AE197" s="371"/>
      <c r="AF197" s="369"/>
      <c r="AG197" s="371"/>
      <c r="AH197" s="369"/>
      <c r="AI197" s="371"/>
      <c r="AJ197" s="369"/>
      <c r="AK197" s="371"/>
      <c r="AL197" s="369"/>
      <c r="AM197" s="371"/>
      <c r="AN197" s="375"/>
      <c r="AO197" s="371"/>
      <c r="AP197" s="369"/>
      <c r="AQ197" s="517"/>
      <c r="AR197" s="447"/>
      <c r="AS197" s="371"/>
      <c r="AT197" s="369"/>
      <c r="AU197" s="371"/>
      <c r="AV197" s="541" t="str">
        <f>CB197&amp;CC197&amp;CD197&amp;CE197</f>
        <v/>
      </c>
      <c r="AW197" s="350"/>
      <c r="AX197" s="350"/>
      <c r="AY197" s="350"/>
      <c r="AZ197" s="350"/>
      <c r="BR197" s="346"/>
      <c r="BS197" s="346"/>
      <c r="BT197" s="346"/>
      <c r="BU197" s="346"/>
      <c r="CA197" s="290"/>
      <c r="CB197" s="383" t="str">
        <f t="shared" si="156"/>
        <v/>
      </c>
      <c r="CC197" s="383" t="str">
        <f t="shared" si="157"/>
        <v/>
      </c>
      <c r="CD197" s="383" t="str">
        <f t="shared" si="158"/>
        <v/>
      </c>
      <c r="CE197" s="383" t="str">
        <f>IF(AND(E197&gt;0,AU197="")," * No olvide digitar la variable Migrantes Mujeres (Digite Cero si no tiene).",IF(AU197&gt;E197," * La variable Migrantes Mujeres no debe ser mayor que el Total de Mujeres",""))</f>
        <v/>
      </c>
      <c r="CF197" s="290"/>
      <c r="CG197" s="290"/>
      <c r="CH197" s="290" t="str">
        <f t="shared" si="159"/>
        <v/>
      </c>
      <c r="CI197" s="290" t="str">
        <f t="shared" si="160"/>
        <v/>
      </c>
      <c r="CJ197" s="290"/>
      <c r="CK197" s="290"/>
      <c r="CL197" s="355"/>
      <c r="CM197" s="355"/>
      <c r="CN197" s="355"/>
      <c r="CO197" s="355"/>
      <c r="CP197" s="355"/>
      <c r="CQ197" s="355"/>
      <c r="CR197" s="355"/>
      <c r="CS197" s="355"/>
      <c r="CT197" s="355"/>
      <c r="CU197" s="355"/>
      <c r="CV197" s="355"/>
      <c r="CW197" s="355"/>
      <c r="CX197" s="355"/>
      <c r="CY197" s="355"/>
      <c r="CZ197" s="355"/>
      <c r="DA197" s="355"/>
      <c r="DB197" s="142"/>
      <c r="DC197" s="142"/>
      <c r="DD197" s="142"/>
      <c r="DE197" s="142"/>
      <c r="DF197" s="142">
        <f t="shared" si="152"/>
        <v>0</v>
      </c>
      <c r="DG197" s="142">
        <f t="shared" si="152"/>
        <v>0</v>
      </c>
      <c r="DH197" s="142">
        <f t="shared" si="153"/>
        <v>0</v>
      </c>
      <c r="DI197" s="142">
        <f t="shared" si="153"/>
        <v>0</v>
      </c>
      <c r="DJ197" s="142"/>
      <c r="DK197" s="142"/>
      <c r="DL197" s="142"/>
      <c r="DM197" s="142"/>
      <c r="DN197" s="142"/>
      <c r="DO197" s="142"/>
      <c r="DP197" s="142"/>
      <c r="DQ197" s="142"/>
      <c r="DR197" s="142"/>
      <c r="DS197" s="142"/>
      <c r="DT197" s="142"/>
      <c r="DU197" s="142"/>
      <c r="DV197" s="142"/>
    </row>
    <row r="198" spans="1:126" ht="25.15" customHeight="1">
      <c r="A198" s="616" t="s">
        <v>316</v>
      </c>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c r="AE198" s="346"/>
      <c r="AF198" s="346"/>
      <c r="AG198" s="346"/>
      <c r="AH198" s="346"/>
      <c r="AI198" s="346"/>
      <c r="AJ198" s="5"/>
      <c r="AK198" s="5"/>
      <c r="AL198" s="5"/>
      <c r="AM198" s="5"/>
      <c r="AN198" s="5"/>
      <c r="AO198" s="5"/>
      <c r="AP198" s="5"/>
      <c r="AQ198" s="5"/>
      <c r="AR198" s="5"/>
      <c r="AS198" s="5"/>
      <c r="AT198" s="5"/>
      <c r="AU198" s="5"/>
      <c r="AV198" s="5"/>
    </row>
    <row r="199" spans="1:126" ht="14.5" customHeight="1">
      <c r="A199" s="1758" t="s">
        <v>317</v>
      </c>
      <c r="B199" s="1759"/>
      <c r="C199" s="1764" t="s">
        <v>5</v>
      </c>
      <c r="D199" s="1765"/>
      <c r="E199" s="1766"/>
      <c r="F199" s="1770" t="s">
        <v>318</v>
      </c>
      <c r="G199" s="1771"/>
      <c r="H199" s="1771"/>
      <c r="I199" s="1771"/>
      <c r="J199" s="1771"/>
      <c r="K199" s="1771"/>
      <c r="L199" s="1771"/>
      <c r="M199" s="1771"/>
      <c r="N199" s="1771"/>
      <c r="O199" s="1771"/>
      <c r="P199" s="1771"/>
      <c r="Q199" s="1771"/>
      <c r="R199" s="1771"/>
      <c r="S199" s="1771"/>
      <c r="T199" s="1771"/>
      <c r="U199" s="1771"/>
      <c r="V199" s="1771"/>
      <c r="W199" s="1771"/>
      <c r="X199" s="1771"/>
      <c r="Y199" s="1771"/>
      <c r="Z199" s="1704" t="s">
        <v>7</v>
      </c>
      <c r="AA199" s="1704"/>
      <c r="AB199" s="1704" t="s">
        <v>261</v>
      </c>
      <c r="AC199" s="1704"/>
      <c r="AD199" s="1772" t="s">
        <v>319</v>
      </c>
      <c r="AE199" s="1773"/>
      <c r="AF199" s="1754" t="s">
        <v>343</v>
      </c>
      <c r="AG199" s="1723"/>
      <c r="AH199" s="617"/>
      <c r="AI199" s="617"/>
      <c r="AJ199" s="5"/>
      <c r="AK199" s="5"/>
      <c r="AL199" s="5"/>
      <c r="AM199" s="5"/>
      <c r="AN199" s="5"/>
      <c r="AO199" s="5"/>
      <c r="AP199" s="5"/>
      <c r="AQ199" s="5"/>
      <c r="AR199" s="5"/>
      <c r="AS199" s="5"/>
      <c r="AT199" s="5"/>
      <c r="AU199" s="5"/>
      <c r="AV199" s="5"/>
    </row>
    <row r="200" spans="1:126">
      <c r="A200" s="1760"/>
      <c r="B200" s="1761"/>
      <c r="C200" s="1767"/>
      <c r="D200" s="1768"/>
      <c r="E200" s="1769"/>
      <c r="F200" s="1756" t="s">
        <v>320</v>
      </c>
      <c r="G200" s="1757"/>
      <c r="H200" s="1756" t="s">
        <v>321</v>
      </c>
      <c r="I200" s="1757"/>
      <c r="J200" s="1756" t="s">
        <v>322</v>
      </c>
      <c r="K200" s="1757"/>
      <c r="L200" s="1756" t="s">
        <v>323</v>
      </c>
      <c r="M200" s="1757"/>
      <c r="N200" s="1756" t="s">
        <v>324</v>
      </c>
      <c r="O200" s="1757"/>
      <c r="P200" s="1756" t="s">
        <v>325</v>
      </c>
      <c r="Q200" s="1757"/>
      <c r="R200" s="1756" t="s">
        <v>326</v>
      </c>
      <c r="S200" s="1757"/>
      <c r="T200" s="1756" t="s">
        <v>327</v>
      </c>
      <c r="U200" s="1757"/>
      <c r="V200" s="1756" t="s">
        <v>328</v>
      </c>
      <c r="W200" s="1757"/>
      <c r="X200" s="1756" t="s">
        <v>329</v>
      </c>
      <c r="Y200" s="1776"/>
      <c r="Z200" s="1704"/>
      <c r="AA200" s="1704"/>
      <c r="AB200" s="1704"/>
      <c r="AC200" s="1704"/>
      <c r="AD200" s="1774"/>
      <c r="AE200" s="1775"/>
      <c r="AF200" s="1755"/>
      <c r="AG200" s="1724"/>
      <c r="AH200" s="617"/>
      <c r="AI200" s="617"/>
      <c r="AJ200" s="5"/>
      <c r="AK200" s="5"/>
      <c r="AL200" s="5"/>
      <c r="AM200" s="5"/>
      <c r="AN200" s="5"/>
      <c r="AO200" s="5"/>
      <c r="AP200" s="5"/>
      <c r="AQ200" s="5"/>
      <c r="AR200" s="5"/>
      <c r="AS200" s="5"/>
      <c r="AT200" s="5"/>
      <c r="AU200" s="5"/>
      <c r="AV200" s="5"/>
    </row>
    <row r="201" spans="1:126">
      <c r="A201" s="1762"/>
      <c r="B201" s="1763"/>
      <c r="C201" s="358" t="s">
        <v>178</v>
      </c>
      <c r="D201" s="359" t="s">
        <v>42</v>
      </c>
      <c r="E201" s="360" t="s">
        <v>179</v>
      </c>
      <c r="F201" s="583" t="s">
        <v>42</v>
      </c>
      <c r="G201" s="618" t="s">
        <v>179</v>
      </c>
      <c r="H201" s="583" t="s">
        <v>42</v>
      </c>
      <c r="I201" s="618" t="s">
        <v>179</v>
      </c>
      <c r="J201" s="583" t="s">
        <v>42</v>
      </c>
      <c r="K201" s="618" t="s">
        <v>179</v>
      </c>
      <c r="L201" s="583" t="s">
        <v>42</v>
      </c>
      <c r="M201" s="618" t="s">
        <v>179</v>
      </c>
      <c r="N201" s="583" t="s">
        <v>42</v>
      </c>
      <c r="O201" s="618" t="s">
        <v>179</v>
      </c>
      <c r="P201" s="583" t="s">
        <v>42</v>
      </c>
      <c r="Q201" s="618" t="s">
        <v>179</v>
      </c>
      <c r="R201" s="583" t="s">
        <v>42</v>
      </c>
      <c r="S201" s="618" t="s">
        <v>179</v>
      </c>
      <c r="T201" s="583" t="s">
        <v>42</v>
      </c>
      <c r="U201" s="618" t="s">
        <v>179</v>
      </c>
      <c r="V201" s="583" t="s">
        <v>42</v>
      </c>
      <c r="W201" s="618" t="s">
        <v>179</v>
      </c>
      <c r="X201" s="583" t="s">
        <v>42</v>
      </c>
      <c r="Y201" s="619" t="s">
        <v>179</v>
      </c>
      <c r="Z201" s="364" t="s">
        <v>42</v>
      </c>
      <c r="AA201" s="181" t="s">
        <v>179</v>
      </c>
      <c r="AB201" s="620" t="s">
        <v>42</v>
      </c>
      <c r="AC201" s="621" t="s">
        <v>179</v>
      </c>
      <c r="AD201" s="620" t="s">
        <v>42</v>
      </c>
      <c r="AE201" s="621" t="s">
        <v>179</v>
      </c>
      <c r="AF201" s="622" t="s">
        <v>42</v>
      </c>
      <c r="AG201" s="621" t="s">
        <v>179</v>
      </c>
      <c r="AH201" s="20"/>
      <c r="AI201" s="20"/>
      <c r="AJ201" s="5"/>
      <c r="AK201" s="5"/>
      <c r="AL201" s="5"/>
      <c r="AM201" s="5"/>
      <c r="AN201" s="5"/>
      <c r="AO201" s="5"/>
      <c r="AP201" s="5"/>
      <c r="AQ201" s="5"/>
      <c r="AR201" s="5"/>
      <c r="AS201" s="5"/>
      <c r="AT201" s="5"/>
      <c r="AU201" s="5"/>
      <c r="AV201" s="5"/>
    </row>
    <row r="202" spans="1:126" ht="24.75" customHeight="1" thickBot="1">
      <c r="A202" s="1746" t="s">
        <v>330</v>
      </c>
      <c r="B202" s="1747"/>
      <c r="C202" s="623">
        <f t="shared" ref="C202:C204" si="161">SUM(D202:E202)</f>
        <v>0</v>
      </c>
      <c r="D202" s="624">
        <f t="shared" ref="D202:E204" si="162">+F202+H202+J202+L202+N202+P202+R202+T202+V202+X202</f>
        <v>0</v>
      </c>
      <c r="E202" s="625">
        <f>+G202+I202+K202+M202+O202+Q202+S202+U202+W202+Y202</f>
        <v>0</v>
      </c>
      <c r="F202" s="626"/>
      <c r="G202" s="627"/>
      <c r="H202" s="626"/>
      <c r="I202" s="627"/>
      <c r="J202" s="626"/>
      <c r="K202" s="627"/>
      <c r="L202" s="626"/>
      <c r="M202" s="627"/>
      <c r="N202" s="626"/>
      <c r="O202" s="627"/>
      <c r="P202" s="626"/>
      <c r="Q202" s="627"/>
      <c r="R202" s="626"/>
      <c r="S202" s="627"/>
      <c r="T202" s="626"/>
      <c r="U202" s="627"/>
      <c r="V202" s="626"/>
      <c r="W202" s="627"/>
      <c r="X202" s="626"/>
      <c r="Y202" s="628"/>
      <c r="Z202" s="629"/>
      <c r="AA202" s="627"/>
      <c r="AB202" s="626"/>
      <c r="AC202" s="627"/>
      <c r="AD202" s="626"/>
      <c r="AE202" s="627"/>
      <c r="AF202" s="626"/>
      <c r="AG202" s="627"/>
      <c r="AH202" s="381" t="str">
        <f>CB202&amp;CC202&amp;CD202&amp;CE202&amp;CF202&amp;CG202&amp;CH202&amp;CI202&amp;CJ202&amp;CK202</f>
        <v/>
      </c>
      <c r="AI202" s="630"/>
      <c r="AJ202" s="381"/>
      <c r="AK202" s="346"/>
      <c r="AL202" s="346"/>
      <c r="AM202" s="346"/>
      <c r="AN202" s="346"/>
      <c r="AO202" s="346"/>
      <c r="AP202" s="346"/>
      <c r="AQ202" s="346"/>
      <c r="AR202" s="346"/>
      <c r="AS202" s="346"/>
      <c r="AT202" s="346"/>
      <c r="AU202" s="346"/>
      <c r="AV202" s="5"/>
      <c r="AW202" s="5"/>
      <c r="AX202" s="5"/>
      <c r="AY202" s="5"/>
      <c r="AZ202" s="5"/>
      <c r="BA202" s="5"/>
      <c r="BB202" s="5"/>
      <c r="BC202" s="5"/>
      <c r="BD202" s="5"/>
      <c r="BE202" s="5"/>
      <c r="BF202" s="5"/>
      <c r="BG202" s="5"/>
      <c r="BH202" s="5"/>
      <c r="BI202" s="5"/>
      <c r="BJ202" s="5"/>
      <c r="BK202" s="5"/>
      <c r="BL202" s="5"/>
      <c r="BM202" s="5"/>
      <c r="BN202" s="5"/>
      <c r="BO202" s="5"/>
      <c r="BP202" s="5"/>
      <c r="BQ202" s="5"/>
      <c r="CA202" s="290"/>
      <c r="CB202" s="383" t="str">
        <f>IF(AND(D202&gt;0,Z202="")," * No olvide digitar la variable Pueblos Originarios hombres (Digite Cero si no tiene).",IF(Z202&gt;D202," * La variable Pueblos Originarios hombres  no debe ser mayor que el Total de Hombres.",""))</f>
        <v/>
      </c>
      <c r="CC202" s="383" t="str">
        <f>IF(AND(E202&gt;0,AA202="")," * No olvide digitar la variable Pueblos Originarios Mujeres (Digite Cero si no tiene). Digite Cero si no tiene.",IF(AA202&gt;E202," * La variable Pueblos Originarios Mujeres no debe ser mayor que el Total de Mujeres",""))</f>
        <v/>
      </c>
      <c r="CD202" s="383" t="str">
        <f>IF(AND(D202&gt;0,AB202="")," * No olvide digitar la variable Migrantes hombres (Digite Cero si no tiene).",IF(AB202&gt;D202," * La variable Migrantes hombres  no debe ser mayor que el Total de Hombres",""))</f>
        <v/>
      </c>
      <c r="CE202" s="383" t="str">
        <f>IF(AND(E202&gt;0,AC202="")," * No olvide digitar la variable Migrantes Mujeres (Digite Cero si no tiene).",IF(AC202&gt;E202," * La variable Migrantes Mujeres no debe ser mayor que el Total de Mujeres",""))</f>
        <v/>
      </c>
      <c r="CF202" s="383" t="str">
        <f>IF(AND(D202&gt;0,AD202="")," * No olvide digitar la variable Usuarios con Discapacidad hombres (Digite Cero si no tiene).",IF(AD202&gt;D202," * La variable Usuarios con Discapacidad hombres  no debe ser mayor que el Total de Hombres",""))</f>
        <v/>
      </c>
      <c r="CG202" s="383" t="str">
        <f>IF(AND(E202&gt;0,AE202="")," * No olvide digitar la variable Usuarios con Discapacidad  Mujeres (Digite Cero si no tiene).",IF(AE202&gt;E202," * La variable Usuarios con Discapacidad Mujeres no debe ser mayor que el Total de Mujeres",""))</f>
        <v/>
      </c>
      <c r="CH202" s="383" t="str">
        <f>IF(AND(D202&gt;0,AF202="")," * No olvide digitar la variable Niños, Niñas, adolescentes y jóvenes Mejor Niñez hombres (Digite Cero si no tiene).",IF(AF202&gt;D202," * La variable Niños, Niñas, adolescentes y jóvenes Mejor Niñez hombres  no debe ser mayor que el Total de Hombres",""))</f>
        <v/>
      </c>
      <c r="CI202" s="383" t="str">
        <f>IF(AND(E202&gt;0,AG202="")," * No olvide digitar la variable Niños, Niñas, adolescentes y jóvenes Mejor Niñez Mujeres (Digite Cero si no tiene).",IF(AG202&gt;E202," * La variable Niños, Niñas, adolescentes y jóvenes Mejor Niñez Mujeres no debe ser mayor que el Total de Mujeres",""))</f>
        <v/>
      </c>
      <c r="CL202" s="5"/>
      <c r="CM202" s="5"/>
      <c r="CN202" s="5"/>
      <c r="CO202" s="5"/>
      <c r="CP202" s="5"/>
      <c r="CQ202" s="5"/>
      <c r="CR202" s="5"/>
      <c r="CS202" s="5"/>
      <c r="CT202" s="5"/>
      <c r="CU202" s="5"/>
      <c r="CV202" s="5"/>
      <c r="CW202" s="5"/>
      <c r="CX202" s="5"/>
      <c r="CY202" s="5"/>
      <c r="CZ202" s="5"/>
      <c r="DA202" s="5"/>
      <c r="DB202" s="142">
        <f>IF(AND(D202&gt;0,Z202=""),1,IF(Z202&gt;D202,1,0))</f>
        <v>0</v>
      </c>
      <c r="DC202" s="142">
        <f>IF(AND(E202&gt;0,AA202=""),1,IF(AA202&gt;E202,1,0))</f>
        <v>0</v>
      </c>
      <c r="DD202" s="142">
        <f>IF(AND(D202&gt;0,AB202=""),1,IF(AB202&gt;D202,1,0))</f>
        <v>0</v>
      </c>
      <c r="DE202" s="142"/>
      <c r="DF202" s="142">
        <f>IF(AND(E202&gt;0,AC202=""),1,IF(AC202&gt;E202,1,0))</f>
        <v>0</v>
      </c>
      <c r="DG202" s="142">
        <f>IF(AND(D202&gt;0,AD202=""),1,IF(AD202&gt;D202,1,0))</f>
        <v>0</v>
      </c>
      <c r="DH202" s="142">
        <f>IF(AND(E202&gt;0,AE202=""),1,IF(AE202&gt;E202,1,0))</f>
        <v>0</v>
      </c>
      <c r="DI202" s="142">
        <f>IF(AND(D202&gt;0,AF202=""),1,IF(AF202&gt;D202,1,0))</f>
        <v>0</v>
      </c>
      <c r="DJ202" s="142">
        <f>IF(AND(E202&gt;0,AG202=""),1,IF(AG202&gt;E202,1,0))</f>
        <v>0</v>
      </c>
      <c r="DK202" s="142"/>
      <c r="DL202" s="142"/>
      <c r="DM202" s="142"/>
      <c r="DN202" s="142"/>
      <c r="DO202" s="142"/>
      <c r="DP202" s="142"/>
      <c r="DQ202" s="142"/>
      <c r="DR202" s="142"/>
      <c r="DS202" s="142"/>
      <c r="DT202" s="142"/>
      <c r="DU202" s="142"/>
    </row>
    <row r="203" spans="1:126" ht="16.5" customHeight="1" thickTop="1">
      <c r="A203" s="1748" t="s">
        <v>331</v>
      </c>
      <c r="B203" s="1599" t="s">
        <v>332</v>
      </c>
      <c r="C203" s="421">
        <f t="shared" si="161"/>
        <v>0</v>
      </c>
      <c r="D203" s="498">
        <f t="shared" si="162"/>
        <v>0</v>
      </c>
      <c r="E203" s="465">
        <f t="shared" si="162"/>
        <v>0</v>
      </c>
      <c r="F203" s="631"/>
      <c r="G203" s="632"/>
      <c r="H203" s="631"/>
      <c r="I203" s="632"/>
      <c r="J203" s="631"/>
      <c r="K203" s="632"/>
      <c r="L203" s="631"/>
      <c r="M203" s="632"/>
      <c r="N203" s="631"/>
      <c r="O203" s="632"/>
      <c r="P203" s="631"/>
      <c r="Q203" s="632"/>
      <c r="R203" s="631"/>
      <c r="S203" s="632"/>
      <c r="T203" s="631"/>
      <c r="U203" s="632"/>
      <c r="V203" s="631"/>
      <c r="W203" s="632"/>
      <c r="X203" s="631"/>
      <c r="Y203" s="633"/>
      <c r="Z203" s="634"/>
      <c r="AA203" s="632"/>
      <c r="AB203" s="631"/>
      <c r="AC203" s="632"/>
      <c r="AD203" s="631"/>
      <c r="AE203" s="632"/>
      <c r="AF203" s="631"/>
      <c r="AG203" s="632"/>
      <c r="AH203" s="381" t="str">
        <f>CB203&amp;CC203&amp;CD203&amp;CE203&amp;CF203&amp;CG203&amp;CH203&amp;CI203&amp;CJ203&amp;CK203</f>
        <v/>
      </c>
      <c r="AI203" s="630"/>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CA203" s="290"/>
      <c r="CB203" s="383" t="str">
        <f t="shared" ref="CB203:CB204" si="163">IF(AND(D203&gt;0,Z203="")," * No olvide digitar la variable Pueblos Originarios hombres (Digite Cero si no tiene).",IF(Z203&gt;D203," * La variable Pueblos Originarios hombres  no debe ser mayor que el Total de Hombres.",""))</f>
        <v/>
      </c>
      <c r="CC203" s="383" t="str">
        <f t="shared" ref="CC203:CC204" si="164">IF(AND(E203&gt;0,AA203="")," * No olvide digitar la variable Pueblos Originarios Mujeres (Digite Cero si no tiene). Digite Cero si no tiene.",IF(AA203&gt;E203," * La variable Pueblos Originarios Mujeres no debe ser mayor que el Total de Mujeres",""))</f>
        <v/>
      </c>
      <c r="CD203" s="383" t="str">
        <f t="shared" ref="CD203:CD204" si="165">IF(AND(D203&gt;0,AB203="")," * No olvide digitar la variable Migrantes hombres (Digite Cero si no tiene).",IF(AB203&gt;D203," * La variable Migrantes hombres  no debe ser mayor que el Total de Hombres",""))</f>
        <v/>
      </c>
      <c r="CE203" s="383" t="str">
        <f t="shared" ref="CE203:CE204" si="166">IF(AND(E203&gt;0,AC203="")," * No olvide digitar la variable Migrantes Mujeres (Digite Cero si no tiene).",IF(AC203&gt;E203," * La variable Migrantes Mujeres no debe ser mayor que el Total de Mujeres",""))</f>
        <v/>
      </c>
      <c r="CF203" s="383" t="str">
        <f t="shared" ref="CF203:CF204" si="167">IF(AND(D203&gt;0,AD203="")," * No olvide digitar la variable Usuarios con Discapacidad hombres (Digite Cero si no tiene).",IF(AD203&gt;D203," * La variable Usuarios con Discapacidad hombres  no debe ser mayor que el Total de Hombres",""))</f>
        <v/>
      </c>
      <c r="CG203" s="383" t="str">
        <f t="shared" ref="CG203:CG204" si="168">IF(AND(E203&gt;0,AE203="")," * No olvide digitar la variable Usuarios con Discapacidad  Mujeres (Digite Cero si no tiene).",IF(AE203&gt;E203," * La variable Usuarios con Discapacidad Mujeres no debe ser mayor que el Total de Mujeres",""))</f>
        <v/>
      </c>
      <c r="CH203" s="383" t="str">
        <f t="shared" ref="CH203:CH204" si="169">IF(AND(D203&gt;0,AF203="")," * No olvide digitar la variable Niños, Niñas, adolescentes y jóvenes Mejor Niñez hombres (Digite Cero si no tiene).",IF(AF203&gt;D203," * La variable Niños, Niñas, adolescentes y jóvenes Mejor Niñez hombres  no debe ser mayor que el Total de Hombres",""))</f>
        <v/>
      </c>
      <c r="CI203" s="383" t="str">
        <f t="shared" ref="CI203:CI204" si="170">IF(AND(E203&gt;0,AG203="")," * No olvide digitar la variable Niños, Niñas, adolescentes y jóvenes Mejor Niñez Mujeres (Digite Cero si no tiene).",IF(AG203&gt;E203," * La variable Niños, Niñas, adolescentes y jóvenes Mejor Niñez Mujeres no debe ser mayor que el Total de Mujeres",""))</f>
        <v/>
      </c>
      <c r="CL203" s="5"/>
      <c r="CM203" s="5"/>
      <c r="CN203" s="5"/>
      <c r="CO203" s="5"/>
      <c r="CP203" s="5"/>
      <c r="CQ203" s="5"/>
      <c r="CR203" s="5"/>
      <c r="CS203" s="5"/>
      <c r="CT203" s="5"/>
      <c r="CU203" s="5"/>
      <c r="CV203" s="5"/>
      <c r="CW203" s="5"/>
      <c r="CX203" s="5"/>
      <c r="CY203" s="5"/>
      <c r="CZ203" s="5"/>
      <c r="DA203" s="5"/>
      <c r="DB203" s="142">
        <f t="shared" ref="DB203:DC213" si="171">IF(AND(D203&gt;0,Z203=""),1,IF(Z203&gt;D203,1,0))</f>
        <v>0</v>
      </c>
      <c r="DC203" s="142">
        <f t="shared" si="171"/>
        <v>0</v>
      </c>
      <c r="DD203" s="142">
        <f t="shared" ref="DD203:DD213" si="172">IF(AND(D203&gt;0,AB203=""),1,IF(AB203&gt;D203,1,0))</f>
        <v>0</v>
      </c>
      <c r="DE203" s="142"/>
      <c r="DF203" s="142">
        <f t="shared" ref="DF203:DF213" si="173">IF(AND(E203&gt;0,AC203=""),1,IF(AC203&gt;E203,1,0))</f>
        <v>0</v>
      </c>
      <c r="DG203" s="142">
        <f t="shared" ref="DG203:DH213" si="174">IF(AND(D203&gt;0,AD203=""),1,IF(AD203&gt;D203,1,0))</f>
        <v>0</v>
      </c>
      <c r="DH203" s="142">
        <f t="shared" si="174"/>
        <v>0</v>
      </c>
      <c r="DI203" s="142">
        <f t="shared" ref="DI203:DJ213" si="175">IF(AND(D203&gt;0,AF203=""),1,IF(AF203&gt;D203,1,0))</f>
        <v>0</v>
      </c>
      <c r="DJ203" s="142">
        <f t="shared" si="175"/>
        <v>0</v>
      </c>
      <c r="DK203" s="142"/>
      <c r="DL203" s="142"/>
      <c r="DM203" s="142"/>
      <c r="DN203" s="142"/>
      <c r="DO203" s="142"/>
      <c r="DP203" s="142"/>
      <c r="DQ203" s="142"/>
      <c r="DR203" s="142"/>
      <c r="DS203" s="142"/>
      <c r="DT203" s="142"/>
      <c r="DU203" s="142"/>
    </row>
    <row r="204" spans="1:126" ht="16.5" customHeight="1">
      <c r="A204" s="1748"/>
      <c r="B204" s="1599" t="s">
        <v>333</v>
      </c>
      <c r="C204" s="551">
        <f t="shared" si="161"/>
        <v>0</v>
      </c>
      <c r="D204" s="635">
        <f t="shared" si="162"/>
        <v>0</v>
      </c>
      <c r="E204" s="368">
        <f t="shared" si="162"/>
        <v>0</v>
      </c>
      <c r="F204" s="636"/>
      <c r="G204" s="637"/>
      <c r="H204" s="636"/>
      <c r="I204" s="637"/>
      <c r="J204" s="636"/>
      <c r="K204" s="637"/>
      <c r="L204" s="636"/>
      <c r="M204" s="637"/>
      <c r="N204" s="636"/>
      <c r="O204" s="637"/>
      <c r="P204" s="636"/>
      <c r="Q204" s="637"/>
      <c r="R204" s="636"/>
      <c r="S204" s="637"/>
      <c r="T204" s="636"/>
      <c r="U204" s="637"/>
      <c r="V204" s="636"/>
      <c r="W204" s="637"/>
      <c r="X204" s="636"/>
      <c r="Y204" s="638"/>
      <c r="Z204" s="639"/>
      <c r="AA204" s="637"/>
      <c r="AB204" s="636"/>
      <c r="AC204" s="637"/>
      <c r="AD204" s="636"/>
      <c r="AE204" s="637"/>
      <c r="AF204" s="636"/>
      <c r="AG204" s="637"/>
      <c r="AH204" s="381" t="str">
        <f>CB204&amp;CC204&amp;CD204&amp;CE204&amp;CF204&amp;CG204&amp;CH204&amp;CI204&amp;CJ204&amp;CK204</f>
        <v/>
      </c>
      <c r="AI204" s="630"/>
      <c r="CA204" s="290"/>
      <c r="CB204" s="383" t="str">
        <f t="shared" si="163"/>
        <v/>
      </c>
      <c r="CC204" s="383" t="str">
        <f t="shared" si="164"/>
        <v/>
      </c>
      <c r="CD204" s="383" t="str">
        <f t="shared" si="165"/>
        <v/>
      </c>
      <c r="CE204" s="383" t="str">
        <f t="shared" si="166"/>
        <v/>
      </c>
      <c r="CF204" s="383" t="str">
        <f t="shared" si="167"/>
        <v/>
      </c>
      <c r="CG204" s="383" t="str">
        <f t="shared" si="168"/>
        <v/>
      </c>
      <c r="CH204" s="383" t="str">
        <f t="shared" si="169"/>
        <v/>
      </c>
      <c r="CI204" s="383" t="str">
        <f t="shared" si="170"/>
        <v/>
      </c>
      <c r="CL204" s="5"/>
      <c r="CM204" s="5"/>
      <c r="CN204" s="5"/>
      <c r="CO204" s="5"/>
      <c r="CP204" s="5"/>
      <c r="CQ204" s="5"/>
      <c r="CR204" s="5"/>
      <c r="CS204" s="5"/>
      <c r="CT204" s="5"/>
      <c r="CU204" s="5"/>
      <c r="CV204" s="5"/>
      <c r="CW204" s="5"/>
      <c r="CX204" s="5"/>
      <c r="CY204" s="5"/>
      <c r="CZ204" s="5"/>
      <c r="DA204" s="5"/>
      <c r="DB204" s="142">
        <f t="shared" si="171"/>
        <v>0</v>
      </c>
      <c r="DC204" s="142">
        <f t="shared" si="171"/>
        <v>0</v>
      </c>
      <c r="DD204" s="142">
        <f t="shared" si="172"/>
        <v>0</v>
      </c>
      <c r="DE204" s="142"/>
      <c r="DF204" s="142">
        <f t="shared" si="173"/>
        <v>0</v>
      </c>
      <c r="DG204" s="142">
        <f t="shared" si="174"/>
        <v>0</v>
      </c>
      <c r="DH204" s="142">
        <f t="shared" si="174"/>
        <v>0</v>
      </c>
      <c r="DI204" s="142">
        <f t="shared" si="175"/>
        <v>0</v>
      </c>
      <c r="DJ204" s="142">
        <f t="shared" si="175"/>
        <v>0</v>
      </c>
      <c r="DK204" s="142"/>
      <c r="DL204" s="142"/>
      <c r="DM204" s="142"/>
      <c r="DN204" s="142"/>
      <c r="DO204" s="142"/>
      <c r="DP204" s="142"/>
      <c r="DQ204" s="142"/>
      <c r="DR204" s="142"/>
      <c r="DS204" s="142"/>
      <c r="DT204" s="142"/>
      <c r="DU204" s="142"/>
    </row>
    <row r="205" spans="1:126" ht="16.5" customHeight="1">
      <c r="A205" s="1749"/>
      <c r="B205" s="496" t="s">
        <v>334</v>
      </c>
      <c r="C205" s="411">
        <f>SUM(D205:E205)</f>
        <v>0</v>
      </c>
      <c r="D205" s="412">
        <f>+F205+H205+J205+L205+N205+P205+R205+T205+V205+X205</f>
        <v>0</v>
      </c>
      <c r="E205" s="474">
        <f>+G205+I205+K205+M205+O205+Q205+S205+U205+W205+Y205</f>
        <v>0</v>
      </c>
      <c r="F205" s="412">
        <f>SUM(F203:F204)</f>
        <v>0</v>
      </c>
      <c r="G205" s="474">
        <f t="shared" ref="G205:AG205" si="176">SUM(G203:G204)</f>
        <v>0</v>
      </c>
      <c r="H205" s="412">
        <f t="shared" si="176"/>
        <v>0</v>
      </c>
      <c r="I205" s="474">
        <f t="shared" si="176"/>
        <v>0</v>
      </c>
      <c r="J205" s="412">
        <f t="shared" si="176"/>
        <v>0</v>
      </c>
      <c r="K205" s="474">
        <f t="shared" si="176"/>
        <v>0</v>
      </c>
      <c r="L205" s="412">
        <f t="shared" si="176"/>
        <v>0</v>
      </c>
      <c r="M205" s="474">
        <f t="shared" si="176"/>
        <v>0</v>
      </c>
      <c r="N205" s="412">
        <f t="shared" si="176"/>
        <v>0</v>
      </c>
      <c r="O205" s="474">
        <f t="shared" si="176"/>
        <v>0</v>
      </c>
      <c r="P205" s="412">
        <f t="shared" si="176"/>
        <v>0</v>
      </c>
      <c r="Q205" s="474">
        <f t="shared" si="176"/>
        <v>0</v>
      </c>
      <c r="R205" s="412">
        <f t="shared" si="176"/>
        <v>0</v>
      </c>
      <c r="S205" s="474">
        <f t="shared" si="176"/>
        <v>0</v>
      </c>
      <c r="T205" s="412">
        <f t="shared" si="176"/>
        <v>0</v>
      </c>
      <c r="U205" s="474">
        <f t="shared" si="176"/>
        <v>0</v>
      </c>
      <c r="V205" s="412">
        <f t="shared" si="176"/>
        <v>0</v>
      </c>
      <c r="W205" s="474">
        <f t="shared" si="176"/>
        <v>0</v>
      </c>
      <c r="X205" s="412">
        <f t="shared" si="176"/>
        <v>0</v>
      </c>
      <c r="Y205" s="422">
        <f t="shared" si="176"/>
        <v>0</v>
      </c>
      <c r="Z205" s="417">
        <f t="shared" si="176"/>
        <v>0</v>
      </c>
      <c r="AA205" s="474">
        <f t="shared" si="176"/>
        <v>0</v>
      </c>
      <c r="AB205" s="412">
        <f t="shared" si="176"/>
        <v>0</v>
      </c>
      <c r="AC205" s="474">
        <f t="shared" si="176"/>
        <v>0</v>
      </c>
      <c r="AD205" s="412">
        <f t="shared" si="176"/>
        <v>0</v>
      </c>
      <c r="AE205" s="474">
        <f>SUM(AE203:AE204)</f>
        <v>0</v>
      </c>
      <c r="AF205" s="412">
        <f t="shared" si="176"/>
        <v>0</v>
      </c>
      <c r="AG205" s="474">
        <f t="shared" si="176"/>
        <v>0</v>
      </c>
      <c r="AH205" s="541"/>
      <c r="AI205" s="640"/>
      <c r="CA205" s="290"/>
      <c r="CB205" s="290"/>
      <c r="CC205" s="290"/>
      <c r="CD205" s="290"/>
      <c r="CE205" s="290"/>
      <c r="CF205" s="290"/>
      <c r="CG205" s="290"/>
      <c r="CH205" s="290"/>
      <c r="CI205" s="290"/>
      <c r="CL205" s="5"/>
      <c r="CM205" s="5"/>
      <c r="CN205" s="5"/>
      <c r="CO205" s="5"/>
      <c r="CP205" s="5"/>
      <c r="CQ205" s="5"/>
      <c r="CR205" s="5"/>
      <c r="CS205" s="5"/>
      <c r="CT205" s="5"/>
      <c r="CU205" s="5"/>
      <c r="CV205" s="5"/>
      <c r="CW205" s="5"/>
      <c r="CX205" s="5"/>
      <c r="CY205" s="5"/>
      <c r="CZ205" s="5"/>
      <c r="DA205" s="5"/>
      <c r="DB205" s="142">
        <f t="shared" si="171"/>
        <v>0</v>
      </c>
      <c r="DC205" s="142">
        <f t="shared" si="171"/>
        <v>0</v>
      </c>
      <c r="DD205" s="142">
        <f t="shared" si="172"/>
        <v>0</v>
      </c>
      <c r="DE205" s="142"/>
      <c r="DF205" s="142">
        <f t="shared" si="173"/>
        <v>0</v>
      </c>
      <c r="DG205" s="142">
        <f t="shared" si="174"/>
        <v>0</v>
      </c>
      <c r="DH205" s="142">
        <f t="shared" si="174"/>
        <v>0</v>
      </c>
      <c r="DI205" s="142">
        <f t="shared" si="175"/>
        <v>0</v>
      </c>
      <c r="DJ205" s="142">
        <f t="shared" si="175"/>
        <v>0</v>
      </c>
      <c r="DK205" s="142"/>
      <c r="DL205" s="142"/>
      <c r="DM205" s="142"/>
      <c r="DN205" s="142"/>
      <c r="DO205" s="142"/>
      <c r="DP205" s="142"/>
      <c r="DQ205" s="142"/>
      <c r="DR205" s="142"/>
      <c r="DS205" s="142"/>
      <c r="DT205" s="142"/>
      <c r="DU205" s="142"/>
    </row>
    <row r="206" spans="1:126" ht="18" customHeight="1">
      <c r="A206" s="1750" t="s">
        <v>335</v>
      </c>
      <c r="B206" s="641">
        <v>0</v>
      </c>
      <c r="C206" s="387">
        <f t="shared" ref="C206:C212" si="177">SUM(D206:E206)</f>
        <v>0</v>
      </c>
      <c r="D206" s="489">
        <f t="shared" ref="D206:E213" si="178">+F206+H206+J206+L206+N206+P206+R206+T206+V206+X206</f>
        <v>0</v>
      </c>
      <c r="E206" s="389">
        <f t="shared" si="178"/>
        <v>0</v>
      </c>
      <c r="F206" s="642"/>
      <c r="G206" s="643"/>
      <c r="H206" s="642"/>
      <c r="I206" s="643"/>
      <c r="J206" s="642"/>
      <c r="K206" s="643"/>
      <c r="L206" s="642"/>
      <c r="M206" s="643"/>
      <c r="N206" s="642"/>
      <c r="O206" s="643"/>
      <c r="P206" s="642"/>
      <c r="Q206" s="643"/>
      <c r="R206" s="642"/>
      <c r="S206" s="643"/>
      <c r="T206" s="642"/>
      <c r="U206" s="643"/>
      <c r="V206" s="642"/>
      <c r="W206" s="643"/>
      <c r="X206" s="642"/>
      <c r="Y206" s="644"/>
      <c r="Z206" s="645"/>
      <c r="AA206" s="643"/>
      <c r="AB206" s="642"/>
      <c r="AC206" s="643"/>
      <c r="AD206" s="642"/>
      <c r="AE206" s="643"/>
      <c r="AF206" s="642"/>
      <c r="AG206" s="643"/>
      <c r="AH206" s="381" t="str">
        <f t="shared" ref="AH206:AH211" si="179">CB206&amp;CC206&amp;CD206&amp;CE206&amp;CF206&amp;CG206&amp;CH206&amp;CI206&amp;CJ206&amp;CK206</f>
        <v/>
      </c>
      <c r="AI206" s="630"/>
      <c r="CA206" s="290"/>
      <c r="CB206" s="383" t="str">
        <f t="shared" ref="CB206:CB211" si="180">IF(AND(D206&gt;0,Z206="")," * No olvide digitar la variable Pueblos Originarios hombres (Digite Cero si no tiene).",IF(Z206&gt;D206," * La variable Pueblos Originarios hombres  no debe ser mayor que el Total de Hombres.",""))</f>
        <v/>
      </c>
      <c r="CC206" s="383" t="str">
        <f t="shared" ref="CC206:CC211" si="181">IF(AND(E206&gt;0,AA206="")," * No olvide digitar la variable Pueblos Originarios Mujeres (Digite Cero si no tiene). Digite Cero si no tiene.",IF(AA206&gt;E206," * La variable Pueblos Originarios Mujeres no debe ser mayor que el Total de Mujeres",""))</f>
        <v/>
      </c>
      <c r="CD206" s="383" t="str">
        <f t="shared" ref="CD206:CD211" si="182">IF(AND(D206&gt;0,AB206="")," * No olvide digitar la variable Migrantes hombres (Digite Cero si no tiene).",IF(AB206&gt;D206," * La variable Migrantes hombres  no debe ser mayor que el Total de Hombres",""))</f>
        <v/>
      </c>
      <c r="CE206" s="383" t="str">
        <f t="shared" ref="CE206:CE211" si="183">IF(AND(E206&gt;0,AC206="")," * No olvide digitar la variable Migrantes Mujeres (Digite Cero si no tiene).",IF(AC206&gt;E206," * La variable Migrantes Mujeres no debe ser mayor que el Total de Mujeres",""))</f>
        <v/>
      </c>
      <c r="CF206" s="383" t="str">
        <f t="shared" ref="CF206:CF211" si="184">IF(AND(D206&gt;0,AD206="")," * No olvide digitar la variable Usuarios con Discapacidad hombres (Digite Cero si no tiene).",IF(AD206&gt;D206," * La variable Usuarios con Discapacidad hombres  no debe ser mayor que el Total de Hombres",""))</f>
        <v/>
      </c>
      <c r="CG206" s="383" t="str">
        <f t="shared" ref="CG206:CG211" si="185">IF(AND(E206&gt;0,AE206="")," * No olvide digitar la variable Usuarios con Discapacidad  Mujeres (Digite Cero si no tiene).",IF(AE206&gt;E206," * La variable Usuarios con Discapacidad Mujeres no debe ser mayor que el Total de Mujeres",""))</f>
        <v/>
      </c>
      <c r="CH206" s="383" t="str">
        <f t="shared" ref="CH206:CH211" si="186">IF(AND(D206&gt;0,AF206="")," * No olvide digitar la variable Niños, Niñas, adolescentes y jóvenes Mejor Niñez hombres (Digite Cero si no tiene).",IF(AF206&gt;D206," * La variable Niños, Niñas, adolescentes y jóvenes Mejor Niñez hombres  no debe ser mayor que el Total de Hombres",""))</f>
        <v/>
      </c>
      <c r="CI206" s="383" t="str">
        <f t="shared" ref="CI206:CI211" si="187">IF(AND(E206&gt;0,AG206="")," * No olvide digitar la variable Niños, Niñas, adolescentes y jóvenes Mejor Niñez Mujeres (Digite Cero si no tiene).",IF(AG206&gt;E206," * La variable Niños, Niñas, adolescentes y jóvenes Mejor Niñez Mujeres no debe ser mayor que el Total de Mujeres",""))</f>
        <v/>
      </c>
      <c r="CL206" s="5"/>
      <c r="CM206" s="5"/>
      <c r="CN206" s="5"/>
      <c r="CO206" s="5"/>
      <c r="CP206" s="5"/>
      <c r="CQ206" s="5"/>
      <c r="CR206" s="5"/>
      <c r="CS206" s="5"/>
      <c r="CT206" s="5"/>
      <c r="CU206" s="5"/>
      <c r="CV206" s="5"/>
      <c r="CW206" s="5"/>
      <c r="CX206" s="5"/>
      <c r="CY206" s="5"/>
      <c r="CZ206" s="5"/>
      <c r="DA206" s="5"/>
      <c r="DB206" s="142">
        <f t="shared" si="171"/>
        <v>0</v>
      </c>
      <c r="DC206" s="142">
        <f t="shared" si="171"/>
        <v>0</v>
      </c>
      <c r="DD206" s="142">
        <f t="shared" si="172"/>
        <v>0</v>
      </c>
      <c r="DE206" s="142"/>
      <c r="DF206" s="142">
        <f t="shared" si="173"/>
        <v>0</v>
      </c>
      <c r="DG206" s="142">
        <f t="shared" si="174"/>
        <v>0</v>
      </c>
      <c r="DH206" s="142">
        <f t="shared" si="174"/>
        <v>0</v>
      </c>
      <c r="DI206" s="142">
        <f t="shared" si="175"/>
        <v>0</v>
      </c>
      <c r="DJ206" s="142">
        <f t="shared" si="175"/>
        <v>0</v>
      </c>
      <c r="DK206" s="142"/>
      <c r="DL206" s="142"/>
      <c r="DM206" s="142"/>
      <c r="DN206" s="142"/>
      <c r="DO206" s="142"/>
      <c r="DP206" s="142"/>
      <c r="DQ206" s="142"/>
      <c r="DR206" s="142"/>
      <c r="DS206" s="142"/>
      <c r="DT206" s="142"/>
      <c r="DU206" s="142"/>
    </row>
    <row r="207" spans="1:126" ht="18" customHeight="1">
      <c r="A207" s="1751"/>
      <c r="B207" s="646" t="s">
        <v>336</v>
      </c>
      <c r="C207" s="543">
        <f t="shared" si="177"/>
        <v>0</v>
      </c>
      <c r="D207" s="491">
        <f t="shared" si="178"/>
        <v>0</v>
      </c>
      <c r="E207" s="454">
        <f t="shared" si="178"/>
        <v>0</v>
      </c>
      <c r="F207" s="647"/>
      <c r="G207" s="648"/>
      <c r="H207" s="647"/>
      <c r="I207" s="648"/>
      <c r="J207" s="647"/>
      <c r="K207" s="648"/>
      <c r="L207" s="647"/>
      <c r="M207" s="648"/>
      <c r="N207" s="647"/>
      <c r="O207" s="648"/>
      <c r="P207" s="647"/>
      <c r="Q207" s="648"/>
      <c r="R207" s="647"/>
      <c r="S207" s="648"/>
      <c r="T207" s="647"/>
      <c r="U207" s="648"/>
      <c r="V207" s="647"/>
      <c r="W207" s="648"/>
      <c r="X207" s="647"/>
      <c r="Y207" s="649"/>
      <c r="Z207" s="650"/>
      <c r="AA207" s="648"/>
      <c r="AB207" s="647"/>
      <c r="AC207" s="648"/>
      <c r="AD207" s="647"/>
      <c r="AE207" s="648"/>
      <c r="AF207" s="647"/>
      <c r="AG207" s="648"/>
      <c r="AH207" s="381" t="str">
        <f t="shared" si="179"/>
        <v/>
      </c>
      <c r="AI207" s="630"/>
      <c r="CA207" s="290"/>
      <c r="CB207" s="383" t="str">
        <f t="shared" si="180"/>
        <v/>
      </c>
      <c r="CC207" s="383" t="str">
        <f t="shared" si="181"/>
        <v/>
      </c>
      <c r="CD207" s="383" t="str">
        <f t="shared" si="182"/>
        <v/>
      </c>
      <c r="CE207" s="383" t="str">
        <f t="shared" si="183"/>
        <v/>
      </c>
      <c r="CF207" s="383" t="str">
        <f t="shared" si="184"/>
        <v/>
      </c>
      <c r="CG207" s="383" t="str">
        <f t="shared" si="185"/>
        <v/>
      </c>
      <c r="CH207" s="383" t="str">
        <f t="shared" si="186"/>
        <v/>
      </c>
      <c r="CI207" s="383" t="str">
        <f t="shared" si="187"/>
        <v/>
      </c>
      <c r="CL207" s="5"/>
      <c r="CM207" s="5"/>
      <c r="CN207" s="5"/>
      <c r="CO207" s="5"/>
      <c r="CP207" s="5"/>
      <c r="CQ207" s="5"/>
      <c r="CR207" s="5"/>
      <c r="CS207" s="5"/>
      <c r="CT207" s="5"/>
      <c r="CU207" s="5"/>
      <c r="CV207" s="5"/>
      <c r="CW207" s="5"/>
      <c r="CX207" s="5"/>
      <c r="CY207" s="5"/>
      <c r="CZ207" s="5"/>
      <c r="DA207" s="5"/>
      <c r="DB207" s="142">
        <f t="shared" si="171"/>
        <v>0</v>
      </c>
      <c r="DC207" s="142">
        <f t="shared" si="171"/>
        <v>0</v>
      </c>
      <c r="DD207" s="142">
        <f t="shared" si="172"/>
        <v>0</v>
      </c>
      <c r="DE207" s="142"/>
      <c r="DF207" s="142">
        <f t="shared" si="173"/>
        <v>0</v>
      </c>
      <c r="DG207" s="142">
        <f t="shared" si="174"/>
        <v>0</v>
      </c>
      <c r="DH207" s="142">
        <f t="shared" si="174"/>
        <v>0</v>
      </c>
      <c r="DI207" s="142">
        <f t="shared" si="175"/>
        <v>0</v>
      </c>
      <c r="DJ207" s="142">
        <f t="shared" si="175"/>
        <v>0</v>
      </c>
      <c r="DK207" s="142"/>
      <c r="DL207" s="142"/>
      <c r="DM207" s="142"/>
      <c r="DN207" s="142"/>
      <c r="DO207" s="142"/>
      <c r="DP207" s="142"/>
      <c r="DQ207" s="142"/>
      <c r="DR207" s="142"/>
      <c r="DS207" s="142"/>
      <c r="DT207" s="142"/>
      <c r="DU207" s="142"/>
    </row>
    <row r="208" spans="1:126" ht="18" customHeight="1">
      <c r="A208" s="1751"/>
      <c r="B208" s="646" t="s">
        <v>337</v>
      </c>
      <c r="C208" s="543">
        <f t="shared" si="177"/>
        <v>0</v>
      </c>
      <c r="D208" s="491">
        <f t="shared" si="178"/>
        <v>0</v>
      </c>
      <c r="E208" s="454">
        <f t="shared" si="178"/>
        <v>0</v>
      </c>
      <c r="F208" s="647"/>
      <c r="G208" s="648"/>
      <c r="H208" s="647"/>
      <c r="I208" s="648"/>
      <c r="J208" s="647"/>
      <c r="K208" s="648"/>
      <c r="L208" s="647"/>
      <c r="M208" s="648"/>
      <c r="N208" s="647"/>
      <c r="O208" s="648"/>
      <c r="P208" s="647"/>
      <c r="Q208" s="648"/>
      <c r="R208" s="647"/>
      <c r="S208" s="648"/>
      <c r="T208" s="647"/>
      <c r="U208" s="648"/>
      <c r="V208" s="647"/>
      <c r="W208" s="648"/>
      <c r="X208" s="647"/>
      <c r="Y208" s="649"/>
      <c r="Z208" s="650"/>
      <c r="AA208" s="648"/>
      <c r="AB208" s="647"/>
      <c r="AC208" s="648"/>
      <c r="AD208" s="647"/>
      <c r="AE208" s="648"/>
      <c r="AF208" s="647"/>
      <c r="AG208" s="648"/>
      <c r="AH208" s="381" t="str">
        <f t="shared" si="179"/>
        <v/>
      </c>
      <c r="AI208" s="630"/>
      <c r="CA208" s="290"/>
      <c r="CB208" s="383" t="str">
        <f t="shared" si="180"/>
        <v/>
      </c>
      <c r="CC208" s="383" t="str">
        <f t="shared" si="181"/>
        <v/>
      </c>
      <c r="CD208" s="383" t="str">
        <f t="shared" si="182"/>
        <v/>
      </c>
      <c r="CE208" s="383" t="str">
        <f t="shared" si="183"/>
        <v/>
      </c>
      <c r="CF208" s="383" t="str">
        <f t="shared" si="184"/>
        <v/>
      </c>
      <c r="CG208" s="383" t="str">
        <f t="shared" si="185"/>
        <v/>
      </c>
      <c r="CH208" s="383" t="str">
        <f t="shared" si="186"/>
        <v/>
      </c>
      <c r="CI208" s="383" t="str">
        <f t="shared" si="187"/>
        <v/>
      </c>
      <c r="CL208" s="5"/>
      <c r="CM208" s="5"/>
      <c r="CN208" s="5"/>
      <c r="CO208" s="5"/>
      <c r="CP208" s="5"/>
      <c r="CQ208" s="5"/>
      <c r="CR208" s="5"/>
      <c r="CS208" s="5"/>
      <c r="CT208" s="5"/>
      <c r="CU208" s="5"/>
      <c r="CV208" s="5"/>
      <c r="CW208" s="5"/>
      <c r="CX208" s="5"/>
      <c r="CY208" s="5"/>
      <c r="CZ208" s="5"/>
      <c r="DA208" s="5"/>
      <c r="DB208" s="142">
        <f t="shared" si="171"/>
        <v>0</v>
      </c>
      <c r="DC208" s="142">
        <f t="shared" si="171"/>
        <v>0</v>
      </c>
      <c r="DD208" s="142">
        <f t="shared" si="172"/>
        <v>0</v>
      </c>
      <c r="DE208" s="142"/>
      <c r="DF208" s="142">
        <f t="shared" si="173"/>
        <v>0</v>
      </c>
      <c r="DG208" s="142">
        <f t="shared" si="174"/>
        <v>0</v>
      </c>
      <c r="DH208" s="142">
        <f t="shared" si="174"/>
        <v>0</v>
      </c>
      <c r="DI208" s="142">
        <f t="shared" si="175"/>
        <v>0</v>
      </c>
      <c r="DJ208" s="142">
        <f t="shared" si="175"/>
        <v>0</v>
      </c>
      <c r="DK208" s="142"/>
      <c r="DL208" s="142"/>
      <c r="DM208" s="142"/>
      <c r="DN208" s="142"/>
      <c r="DO208" s="142"/>
      <c r="DP208" s="142"/>
      <c r="DQ208" s="142"/>
      <c r="DR208" s="142"/>
      <c r="DS208" s="142"/>
      <c r="DT208" s="142"/>
      <c r="DU208" s="142"/>
    </row>
    <row r="209" spans="1:125" ht="18" customHeight="1">
      <c r="A209" s="1751"/>
      <c r="B209" s="646" t="s">
        <v>338</v>
      </c>
      <c r="C209" s="543">
        <f t="shared" si="177"/>
        <v>0</v>
      </c>
      <c r="D209" s="491">
        <f t="shared" si="178"/>
        <v>0</v>
      </c>
      <c r="E209" s="454">
        <f t="shared" si="178"/>
        <v>0</v>
      </c>
      <c r="F209" s="647"/>
      <c r="G209" s="648"/>
      <c r="H209" s="647"/>
      <c r="I209" s="648"/>
      <c r="J209" s="647"/>
      <c r="K209" s="648"/>
      <c r="L209" s="647"/>
      <c r="M209" s="648"/>
      <c r="N209" s="647"/>
      <c r="O209" s="648"/>
      <c r="P209" s="647"/>
      <c r="Q209" s="648"/>
      <c r="R209" s="647"/>
      <c r="S209" s="648"/>
      <c r="T209" s="647"/>
      <c r="U209" s="648"/>
      <c r="V209" s="647"/>
      <c r="W209" s="648"/>
      <c r="X209" s="647"/>
      <c r="Y209" s="649"/>
      <c r="Z209" s="650"/>
      <c r="AA209" s="648"/>
      <c r="AB209" s="647"/>
      <c r="AC209" s="648"/>
      <c r="AD209" s="647"/>
      <c r="AE209" s="648"/>
      <c r="AF209" s="647"/>
      <c r="AG209" s="648"/>
      <c r="AH209" s="381" t="str">
        <f t="shared" si="179"/>
        <v/>
      </c>
      <c r="AI209" s="630"/>
      <c r="CA209" s="290"/>
      <c r="CB209" s="383" t="str">
        <f t="shared" si="180"/>
        <v/>
      </c>
      <c r="CC209" s="383" t="str">
        <f t="shared" si="181"/>
        <v/>
      </c>
      <c r="CD209" s="383" t="str">
        <f t="shared" si="182"/>
        <v/>
      </c>
      <c r="CE209" s="383" t="str">
        <f t="shared" si="183"/>
        <v/>
      </c>
      <c r="CF209" s="383" t="str">
        <f t="shared" si="184"/>
        <v/>
      </c>
      <c r="CG209" s="383" t="str">
        <f t="shared" si="185"/>
        <v/>
      </c>
      <c r="CH209" s="383" t="str">
        <f t="shared" si="186"/>
        <v/>
      </c>
      <c r="CI209" s="383" t="str">
        <f t="shared" si="187"/>
        <v/>
      </c>
      <c r="CL209" s="5"/>
      <c r="CM209" s="5"/>
      <c r="CN209" s="5"/>
      <c r="CO209" s="5"/>
      <c r="CP209" s="5"/>
      <c r="CQ209" s="5"/>
      <c r="CR209" s="5"/>
      <c r="CS209" s="5"/>
      <c r="CT209" s="5"/>
      <c r="CU209" s="5"/>
      <c r="CV209" s="5"/>
      <c r="CW209" s="5"/>
      <c r="CX209" s="5"/>
      <c r="CY209" s="5"/>
      <c r="CZ209" s="5"/>
      <c r="DA209" s="5"/>
      <c r="DB209" s="142">
        <f t="shared" si="171"/>
        <v>0</v>
      </c>
      <c r="DC209" s="142">
        <f t="shared" si="171"/>
        <v>0</v>
      </c>
      <c r="DD209" s="142">
        <f t="shared" si="172"/>
        <v>0</v>
      </c>
      <c r="DE209" s="142"/>
      <c r="DF209" s="142">
        <f t="shared" si="173"/>
        <v>0</v>
      </c>
      <c r="DG209" s="142">
        <f t="shared" si="174"/>
        <v>0</v>
      </c>
      <c r="DH209" s="142">
        <f t="shared" si="174"/>
        <v>0</v>
      </c>
      <c r="DI209" s="142">
        <f t="shared" si="175"/>
        <v>0</v>
      </c>
      <c r="DJ209" s="142">
        <f t="shared" si="175"/>
        <v>0</v>
      </c>
      <c r="DK209" s="142"/>
      <c r="DL209" s="142"/>
      <c r="DM209" s="142"/>
      <c r="DN209" s="142"/>
      <c r="DO209" s="142"/>
      <c r="DP209" s="142"/>
      <c r="DQ209" s="142"/>
      <c r="DR209" s="142"/>
      <c r="DS209" s="142"/>
      <c r="DT209" s="142"/>
      <c r="DU209" s="142"/>
    </row>
    <row r="210" spans="1:125" ht="18" customHeight="1">
      <c r="A210" s="1751"/>
      <c r="B210" s="651" t="s">
        <v>339</v>
      </c>
      <c r="C210" s="547">
        <f t="shared" si="177"/>
        <v>0</v>
      </c>
      <c r="D210" s="606">
        <f t="shared" si="178"/>
        <v>0</v>
      </c>
      <c r="E210" s="615">
        <f t="shared" si="178"/>
        <v>0</v>
      </c>
      <c r="F210" s="652"/>
      <c r="G210" s="653"/>
      <c r="H210" s="652"/>
      <c r="I210" s="653"/>
      <c r="J210" s="652"/>
      <c r="K210" s="653"/>
      <c r="L210" s="652"/>
      <c r="M210" s="653"/>
      <c r="N210" s="652"/>
      <c r="O210" s="653"/>
      <c r="P210" s="652"/>
      <c r="Q210" s="653"/>
      <c r="R210" s="652"/>
      <c r="S210" s="653"/>
      <c r="T210" s="652"/>
      <c r="U210" s="653"/>
      <c r="V210" s="652"/>
      <c r="W210" s="653"/>
      <c r="X210" s="652"/>
      <c r="Y210" s="654"/>
      <c r="Z210" s="655"/>
      <c r="AA210" s="653"/>
      <c r="AB210" s="652"/>
      <c r="AC210" s="653"/>
      <c r="AD210" s="652"/>
      <c r="AE210" s="653"/>
      <c r="AF210" s="652"/>
      <c r="AG210" s="653"/>
      <c r="AH210" s="381" t="str">
        <f t="shared" si="179"/>
        <v/>
      </c>
      <c r="AI210" s="630"/>
      <c r="CA210" s="290"/>
      <c r="CB210" s="383" t="str">
        <f t="shared" si="180"/>
        <v/>
      </c>
      <c r="CC210" s="383" t="str">
        <f t="shared" si="181"/>
        <v/>
      </c>
      <c r="CD210" s="383" t="str">
        <f t="shared" si="182"/>
        <v/>
      </c>
      <c r="CE210" s="383" t="str">
        <f t="shared" si="183"/>
        <v/>
      </c>
      <c r="CF210" s="383" t="str">
        <f t="shared" si="184"/>
        <v/>
      </c>
      <c r="CG210" s="383" t="str">
        <f t="shared" si="185"/>
        <v/>
      </c>
      <c r="CH210" s="383" t="str">
        <f t="shared" si="186"/>
        <v/>
      </c>
      <c r="CI210" s="383" t="str">
        <f t="shared" si="187"/>
        <v/>
      </c>
      <c r="CL210" s="5"/>
      <c r="CM210" s="5"/>
      <c r="CN210" s="5"/>
      <c r="CO210" s="5"/>
      <c r="CP210" s="5"/>
      <c r="CQ210" s="5"/>
      <c r="CR210" s="5"/>
      <c r="CS210" s="5"/>
      <c r="CT210" s="5"/>
      <c r="CU210" s="5"/>
      <c r="CV210" s="5"/>
      <c r="CW210" s="5"/>
      <c r="CX210" s="5"/>
      <c r="CY210" s="5"/>
      <c r="CZ210" s="5"/>
      <c r="DA210" s="5"/>
      <c r="DB210" s="142">
        <f t="shared" si="171"/>
        <v>0</v>
      </c>
      <c r="DC210" s="142">
        <f t="shared" si="171"/>
        <v>0</v>
      </c>
      <c r="DD210" s="142">
        <f t="shared" si="172"/>
        <v>0</v>
      </c>
      <c r="DE210" s="142"/>
      <c r="DF210" s="142">
        <f t="shared" si="173"/>
        <v>0</v>
      </c>
      <c r="DG210" s="142">
        <f t="shared" si="174"/>
        <v>0</v>
      </c>
      <c r="DH210" s="142">
        <f t="shared" si="174"/>
        <v>0</v>
      </c>
      <c r="DI210" s="142">
        <f t="shared" si="175"/>
        <v>0</v>
      </c>
      <c r="DJ210" s="142">
        <f t="shared" si="175"/>
        <v>0</v>
      </c>
      <c r="DK210" s="142"/>
      <c r="DL210" s="142"/>
      <c r="DM210" s="142"/>
      <c r="DN210" s="142"/>
      <c r="DO210" s="142"/>
      <c r="DP210" s="142"/>
      <c r="DQ210" s="142"/>
      <c r="DR210" s="142"/>
      <c r="DS210" s="142"/>
      <c r="DT210" s="142"/>
      <c r="DU210" s="142"/>
    </row>
    <row r="211" spans="1:125" ht="18" customHeight="1">
      <c r="A211" s="1751"/>
      <c r="B211" s="656" t="s">
        <v>340</v>
      </c>
      <c r="C211" s="411">
        <f t="shared" si="177"/>
        <v>0</v>
      </c>
      <c r="D211" s="412">
        <f t="shared" si="178"/>
        <v>0</v>
      </c>
      <c r="E211" s="474">
        <f t="shared" si="178"/>
        <v>0</v>
      </c>
      <c r="F211" s="657"/>
      <c r="G211" s="658"/>
      <c r="H211" s="657"/>
      <c r="I211" s="658"/>
      <c r="J211" s="657"/>
      <c r="K211" s="658"/>
      <c r="L211" s="657"/>
      <c r="M211" s="658"/>
      <c r="N211" s="657"/>
      <c r="O211" s="658"/>
      <c r="P211" s="657"/>
      <c r="Q211" s="658"/>
      <c r="R211" s="657"/>
      <c r="S211" s="658"/>
      <c r="T211" s="657"/>
      <c r="U211" s="658"/>
      <c r="V211" s="657"/>
      <c r="W211" s="658"/>
      <c r="X211" s="657"/>
      <c r="Y211" s="659"/>
      <c r="Z211" s="660"/>
      <c r="AA211" s="658"/>
      <c r="AB211" s="657"/>
      <c r="AC211" s="658"/>
      <c r="AD211" s="657"/>
      <c r="AE211" s="658"/>
      <c r="AF211" s="657"/>
      <c r="AG211" s="658"/>
      <c r="AH211" s="381" t="str">
        <f t="shared" si="179"/>
        <v/>
      </c>
      <c r="AI211" s="630"/>
      <c r="CA211" s="290"/>
      <c r="CB211" s="383" t="str">
        <f t="shared" si="180"/>
        <v/>
      </c>
      <c r="CC211" s="383" t="str">
        <f t="shared" si="181"/>
        <v/>
      </c>
      <c r="CD211" s="383" t="str">
        <f t="shared" si="182"/>
        <v/>
      </c>
      <c r="CE211" s="383" t="str">
        <f t="shared" si="183"/>
        <v/>
      </c>
      <c r="CF211" s="383" t="str">
        <f t="shared" si="184"/>
        <v/>
      </c>
      <c r="CG211" s="383" t="str">
        <f t="shared" si="185"/>
        <v/>
      </c>
      <c r="CH211" s="383" t="str">
        <f t="shared" si="186"/>
        <v/>
      </c>
      <c r="CI211" s="383" t="str">
        <f t="shared" si="187"/>
        <v/>
      </c>
      <c r="CL211" s="5"/>
      <c r="CM211" s="5"/>
      <c r="CN211" s="5"/>
      <c r="CO211" s="5"/>
      <c r="CP211" s="5"/>
      <c r="CQ211" s="5"/>
      <c r="CR211" s="5"/>
      <c r="CS211" s="5"/>
      <c r="CT211" s="5"/>
      <c r="CU211" s="5"/>
      <c r="CV211" s="5"/>
      <c r="CW211" s="5"/>
      <c r="CX211" s="5"/>
      <c r="CY211" s="5"/>
      <c r="CZ211" s="5"/>
      <c r="DA211" s="5"/>
      <c r="DB211" s="142">
        <f t="shared" si="171"/>
        <v>0</v>
      </c>
      <c r="DC211" s="142">
        <f t="shared" si="171"/>
        <v>0</v>
      </c>
      <c r="DD211" s="142">
        <f t="shared" si="172"/>
        <v>0</v>
      </c>
      <c r="DE211" s="142"/>
      <c r="DF211" s="142">
        <f t="shared" si="173"/>
        <v>0</v>
      </c>
      <c r="DG211" s="142">
        <f t="shared" si="174"/>
        <v>0</v>
      </c>
      <c r="DH211" s="142">
        <f t="shared" si="174"/>
        <v>0</v>
      </c>
      <c r="DI211" s="142">
        <f t="shared" si="175"/>
        <v>0</v>
      </c>
      <c r="DJ211" s="142">
        <f t="shared" si="175"/>
        <v>0</v>
      </c>
      <c r="DK211" s="142"/>
      <c r="DL211" s="142"/>
      <c r="DM211" s="142"/>
      <c r="DN211" s="142"/>
      <c r="DO211" s="142"/>
      <c r="DP211" s="142"/>
      <c r="DQ211" s="142"/>
      <c r="DR211" s="142"/>
      <c r="DS211" s="142"/>
      <c r="DT211" s="142"/>
      <c r="DU211" s="142"/>
    </row>
    <row r="212" spans="1:125" ht="18" customHeight="1">
      <c r="A212" s="1751"/>
      <c r="B212" s="661" t="s">
        <v>334</v>
      </c>
      <c r="C212" s="411">
        <f t="shared" si="177"/>
        <v>0</v>
      </c>
      <c r="D212" s="412">
        <f t="shared" si="178"/>
        <v>0</v>
      </c>
      <c r="E212" s="474">
        <f t="shared" si="178"/>
        <v>0</v>
      </c>
      <c r="F212" s="662">
        <f>SUM(F206:F211)</f>
        <v>0</v>
      </c>
      <c r="G212" s="663">
        <f t="shared" ref="G212:AG212" si="188">SUM(G206:G211)</f>
        <v>0</v>
      </c>
      <c r="H212" s="662">
        <f t="shared" si="188"/>
        <v>0</v>
      </c>
      <c r="I212" s="663">
        <f t="shared" si="188"/>
        <v>0</v>
      </c>
      <c r="J212" s="662">
        <f t="shared" si="188"/>
        <v>0</v>
      </c>
      <c r="K212" s="663">
        <f t="shared" si="188"/>
        <v>0</v>
      </c>
      <c r="L212" s="662">
        <f t="shared" si="188"/>
        <v>0</v>
      </c>
      <c r="M212" s="663">
        <f t="shared" si="188"/>
        <v>0</v>
      </c>
      <c r="N212" s="662">
        <f t="shared" si="188"/>
        <v>0</v>
      </c>
      <c r="O212" s="663">
        <f t="shared" si="188"/>
        <v>0</v>
      </c>
      <c r="P212" s="662">
        <f t="shared" si="188"/>
        <v>0</v>
      </c>
      <c r="Q212" s="663">
        <f t="shared" si="188"/>
        <v>0</v>
      </c>
      <c r="R212" s="662">
        <f t="shared" si="188"/>
        <v>0</v>
      </c>
      <c r="S212" s="663">
        <f t="shared" si="188"/>
        <v>0</v>
      </c>
      <c r="T212" s="662">
        <f t="shared" si="188"/>
        <v>0</v>
      </c>
      <c r="U212" s="663">
        <f t="shared" si="188"/>
        <v>0</v>
      </c>
      <c r="V212" s="662">
        <f t="shared" si="188"/>
        <v>0</v>
      </c>
      <c r="W212" s="663">
        <f t="shared" si="188"/>
        <v>0</v>
      </c>
      <c r="X212" s="662">
        <f t="shared" si="188"/>
        <v>0</v>
      </c>
      <c r="Y212" s="664">
        <f t="shared" si="188"/>
        <v>0</v>
      </c>
      <c r="Z212" s="665">
        <f t="shared" si="188"/>
        <v>0</v>
      </c>
      <c r="AA212" s="663">
        <f t="shared" si="188"/>
        <v>0</v>
      </c>
      <c r="AB212" s="662">
        <f t="shared" si="188"/>
        <v>0</v>
      </c>
      <c r="AC212" s="663">
        <f t="shared" si="188"/>
        <v>0</v>
      </c>
      <c r="AD212" s="662">
        <f t="shared" si="188"/>
        <v>0</v>
      </c>
      <c r="AE212" s="663">
        <f t="shared" si="188"/>
        <v>0</v>
      </c>
      <c r="AF212" s="662">
        <f t="shared" si="188"/>
        <v>0</v>
      </c>
      <c r="AG212" s="666">
        <f t="shared" si="188"/>
        <v>0</v>
      </c>
      <c r="AH212" s="541"/>
      <c r="AI212" s="640"/>
      <c r="CA212" s="290"/>
      <c r="CB212" s="290"/>
      <c r="CC212" s="290"/>
      <c r="CD212" s="290"/>
      <c r="CE212" s="290"/>
      <c r="CF212" s="290"/>
      <c r="CG212" s="290"/>
      <c r="CH212" s="290"/>
      <c r="CI212" s="290"/>
      <c r="CL212" s="5"/>
      <c r="CM212" s="5"/>
      <c r="CN212" s="5"/>
      <c r="CO212" s="5"/>
      <c r="CP212" s="5"/>
      <c r="CQ212" s="5"/>
      <c r="CR212" s="5"/>
      <c r="CS212" s="5"/>
      <c r="CT212" s="5"/>
      <c r="CU212" s="5"/>
      <c r="CV212" s="5"/>
      <c r="CW212" s="5"/>
      <c r="CX212" s="5"/>
      <c r="CY212" s="5"/>
      <c r="CZ212" s="5"/>
      <c r="DA212" s="5"/>
      <c r="DB212" s="142">
        <f t="shared" si="171"/>
        <v>0</v>
      </c>
      <c r="DC212" s="142">
        <f t="shared" si="171"/>
        <v>0</v>
      </c>
      <c r="DD212" s="142">
        <f t="shared" si="172"/>
        <v>0</v>
      </c>
      <c r="DE212" s="142"/>
      <c r="DF212" s="142">
        <f t="shared" si="173"/>
        <v>0</v>
      </c>
      <c r="DG212" s="142">
        <f t="shared" si="174"/>
        <v>0</v>
      </c>
      <c r="DH212" s="142">
        <f t="shared" si="174"/>
        <v>0</v>
      </c>
      <c r="DI212" s="142">
        <f t="shared" si="175"/>
        <v>0</v>
      </c>
      <c r="DJ212" s="142">
        <f t="shared" si="175"/>
        <v>0</v>
      </c>
      <c r="DK212" s="142"/>
      <c r="DL212" s="142"/>
      <c r="DM212" s="142"/>
      <c r="DN212" s="142"/>
      <c r="DO212" s="142"/>
      <c r="DP212" s="142"/>
      <c r="DQ212" s="142"/>
      <c r="DR212" s="142"/>
      <c r="DS212" s="142"/>
      <c r="DT212" s="142"/>
      <c r="DU212" s="142"/>
    </row>
    <row r="213" spans="1:125" ht="18" customHeight="1">
      <c r="A213" s="1752" t="s">
        <v>341</v>
      </c>
      <c r="B213" s="1753"/>
      <c r="C213" s="411">
        <f>SUM(D213:E213)</f>
        <v>0</v>
      </c>
      <c r="D213" s="412">
        <f t="shared" si="178"/>
        <v>0</v>
      </c>
      <c r="E213" s="422">
        <f t="shared" si="178"/>
        <v>0</v>
      </c>
      <c r="F213" s="671"/>
      <c r="G213" s="671"/>
      <c r="H213" s="667"/>
      <c r="I213" s="658"/>
      <c r="J213" s="657"/>
      <c r="K213" s="658"/>
      <c r="L213" s="657"/>
      <c r="M213" s="658"/>
      <c r="N213" s="657"/>
      <c r="O213" s="658"/>
      <c r="P213" s="657"/>
      <c r="Q213" s="658"/>
      <c r="R213" s="657"/>
      <c r="S213" s="658"/>
      <c r="T213" s="657"/>
      <c r="U213" s="658"/>
      <c r="V213" s="657"/>
      <c r="W213" s="658"/>
      <c r="X213" s="657"/>
      <c r="Y213" s="659"/>
      <c r="Z213" s="660"/>
      <c r="AA213" s="658"/>
      <c r="AB213" s="657"/>
      <c r="AC213" s="658"/>
      <c r="AD213" s="657"/>
      <c r="AE213" s="658"/>
      <c r="AF213" s="657"/>
      <c r="AG213" s="658"/>
      <c r="AH213" s="381" t="str">
        <f>CB213&amp;CC213&amp;CD213&amp;CE213&amp;CF213&amp;CG213&amp;CH213&amp;CI213&amp;CJ213&amp;CK213</f>
        <v/>
      </c>
      <c r="AI213" s="630"/>
      <c r="CA213" s="290"/>
      <c r="CB213" s="383" t="str">
        <f>IF(AND(D213&gt;0,Z213="")," * No olvide digitar la variable Pueblos Originarios hombres (Digite Cero si no tiene).",IF(Z213&gt;D213," * La variable Pueblos Originarios hombres  no debe ser mayor que el Total de Hombres.",""))</f>
        <v/>
      </c>
      <c r="CC213" s="383" t="str">
        <f>IF(AND(E213&gt;0,AA213="")," * No olvide digitar la variable Pueblos Originarios Mujeres (Digite Cero si no tiene). Digite Cero si no tiene.",IF(AA213&gt;E213," * La variable Pueblos Originarios Mujeres no debe ser mayor que el Total de Mujeres",""))</f>
        <v/>
      </c>
      <c r="CD213" s="383" t="str">
        <f>IF(AND(D213&gt;0,AB213="")," * No olvide digitar la variable Migrantes hombres (Digite Cero si no tiene).",IF(AB213&gt;D213," * La variable Migrantes hombres  no debe ser mayor que el Total de Hombres",""))</f>
        <v/>
      </c>
      <c r="CE213" s="383" t="str">
        <f>IF(AND(E213&gt;0,AC213="")," * No olvide digitar la variable Migrantes Mujeres (Digite Cero si no tiene).",IF(AC213&gt;E213," * La variable Migrantes Mujeres no debe ser mayor que el Total de Mujeres",""))</f>
        <v/>
      </c>
      <c r="CF213" s="383" t="str">
        <f>IF(AND(D213&gt;0,AD213="")," * No olvide digitar la variable Usuarios con Discapacidad hombres (Digite Cero si no tiene).",IF(AD213&gt;D213," * La variable Usuarios con Discapacidad hombres  no debe ser mayor que el Total de Hombres",""))</f>
        <v/>
      </c>
      <c r="CG213" s="383" t="str">
        <f>IF(AND(E213&gt;0,AE213="")," * No olvide digitar la variable Usuarios con Discapacidad  Mujeres (Digite Cero si no tiene).",IF(AE213&gt;E213," * La variable Usuarios con Discapacidad Mujeres no debe ser mayor que el Total de Mujeres",""))</f>
        <v/>
      </c>
      <c r="CH213" s="383" t="str">
        <f>IF(AND(D213&gt;0,AF213="")," * No olvide digitar la variable Niños, Niñas, adolescentes y jóvenes Mejor Niñez hombres (Digite Cero si no tiene).",IF(AF213&gt;D213," * La variable Niños, Niñas, adolescentes y jóvenes Mejor Niñez hombres  no debe ser mayor que el Total de Hombres",""))</f>
        <v/>
      </c>
      <c r="CI213" s="383" t="str">
        <f>IF(AND(E213&gt;0,AG213="")," * No olvide digitar la variable Niños, Niñas, adolescentes y jóvenes Mejor Niñez Mujeres (Digite Cero si no tiene).",IF(AG213&gt;E213," * La variable Niños, Niñas, adolescentes y jóvenes Mejor Niñez Mujeres no debe ser mayor que el Total de Mujeres",""))</f>
        <v/>
      </c>
      <c r="CL213" s="5"/>
      <c r="CM213" s="5"/>
      <c r="CN213" s="5"/>
      <c r="CO213" s="5"/>
      <c r="CP213" s="5"/>
      <c r="CQ213" s="5"/>
      <c r="CR213" s="5"/>
      <c r="CS213" s="5"/>
      <c r="CT213" s="5"/>
      <c r="CU213" s="5"/>
      <c r="CV213" s="5"/>
      <c r="CW213" s="5"/>
      <c r="CX213" s="5"/>
      <c r="CY213" s="5"/>
      <c r="CZ213" s="5"/>
      <c r="DA213" s="5"/>
      <c r="DB213" s="142">
        <f t="shared" si="171"/>
        <v>0</v>
      </c>
      <c r="DC213" s="142">
        <f t="shared" si="171"/>
        <v>0</v>
      </c>
      <c r="DD213" s="142">
        <f t="shared" si="172"/>
        <v>0</v>
      </c>
      <c r="DE213" s="142"/>
      <c r="DF213" s="142">
        <f t="shared" si="173"/>
        <v>0</v>
      </c>
      <c r="DG213" s="142">
        <f t="shared" si="174"/>
        <v>0</v>
      </c>
      <c r="DH213" s="142">
        <f t="shared" si="174"/>
        <v>0</v>
      </c>
      <c r="DI213" s="142">
        <f t="shared" si="175"/>
        <v>0</v>
      </c>
      <c r="DJ213" s="142">
        <f t="shared" si="175"/>
        <v>0</v>
      </c>
      <c r="DK213" s="142"/>
      <c r="DL213" s="142"/>
      <c r="DM213" s="142"/>
      <c r="DN213" s="142"/>
      <c r="DO213" s="142"/>
      <c r="DP213" s="142"/>
      <c r="DQ213" s="142"/>
      <c r="DR213" s="142"/>
      <c r="DS213" s="142"/>
      <c r="DT213" s="142"/>
      <c r="DU213" s="142"/>
    </row>
    <row r="214" spans="1:1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row>
    <row r="215" spans="1:1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row>
    <row r="216" spans="1:1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row>
    <row r="217" spans="1:1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row>
    <row r="218" spans="1:1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row>
    <row r="219" spans="1:125" hidden="1">
      <c r="A219" s="668">
        <f>SUM(C11:C39,C44:C73,C77:C104,C108:C111,C115:C116,C125,C134,C140,C145:C189,C194,C202,C205,C212,C213)</f>
        <v>0</v>
      </c>
      <c r="B219" s="385" t="s">
        <v>142</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row>
    <row r="220" spans="1:125" hidden="1">
      <c r="A220" s="668">
        <f>SUM(DB$11:DV213)</f>
        <v>0</v>
      </c>
      <c r="B220" s="385" t="s">
        <v>143</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row>
    <row r="221" spans="1:1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row>
    <row r="222" spans="1:1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row>
    <row r="223" spans="1:1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row>
  </sheetData>
  <mergeCells count="211">
    <mergeCell ref="A6:X6"/>
    <mergeCell ref="A8:B10"/>
    <mergeCell ref="C8:E9"/>
    <mergeCell ref="F8:AG8"/>
    <mergeCell ref="AH8:AI9"/>
    <mergeCell ref="AJ8:AK9"/>
    <mergeCell ref="F9:G9"/>
    <mergeCell ref="H9:I9"/>
    <mergeCell ref="J9:K9"/>
    <mergeCell ref="L9:M9"/>
    <mergeCell ref="Z9:AA9"/>
    <mergeCell ref="AB9:AC9"/>
    <mergeCell ref="AD9:AE9"/>
    <mergeCell ref="AF9:AG9"/>
    <mergeCell ref="A11:B11"/>
    <mergeCell ref="A12:A17"/>
    <mergeCell ref="N9:O9"/>
    <mergeCell ref="P9:Q9"/>
    <mergeCell ref="R9:S9"/>
    <mergeCell ref="T9:U9"/>
    <mergeCell ref="V9:W9"/>
    <mergeCell ref="X9:Y9"/>
    <mergeCell ref="J42:K42"/>
    <mergeCell ref="L42:M42"/>
    <mergeCell ref="N42:O42"/>
    <mergeCell ref="P42:Q42"/>
    <mergeCell ref="R42:S42"/>
    <mergeCell ref="A44:B44"/>
    <mergeCell ref="A18:A23"/>
    <mergeCell ref="A24:A30"/>
    <mergeCell ref="A31:A38"/>
    <mergeCell ref="A39:B39"/>
    <mergeCell ref="A40:M40"/>
    <mergeCell ref="A41:B43"/>
    <mergeCell ref="C41:E42"/>
    <mergeCell ref="F41:S41"/>
    <mergeCell ref="F42:G42"/>
    <mergeCell ref="H42:I42"/>
    <mergeCell ref="A76:B76"/>
    <mergeCell ref="A77:A83"/>
    <mergeCell ref="A84:A90"/>
    <mergeCell ref="A91:A97"/>
    <mergeCell ref="A98:A104"/>
    <mergeCell ref="A106:B107"/>
    <mergeCell ref="A45:A52"/>
    <mergeCell ref="A53:A59"/>
    <mergeCell ref="A60:A63"/>
    <mergeCell ref="A64:A72"/>
    <mergeCell ref="A73:B73"/>
    <mergeCell ref="A74:T74"/>
    <mergeCell ref="K106:K107"/>
    <mergeCell ref="L106:L107"/>
    <mergeCell ref="M106:M107"/>
    <mergeCell ref="N106:N107"/>
    <mergeCell ref="C106:C107"/>
    <mergeCell ref="D106:D107"/>
    <mergeCell ref="E106:E107"/>
    <mergeCell ref="F106:F107"/>
    <mergeCell ref="G106:G107"/>
    <mergeCell ref="H106:H107"/>
    <mergeCell ref="A108:A111"/>
    <mergeCell ref="A113:B114"/>
    <mergeCell ref="C113:C114"/>
    <mergeCell ref="A115:B115"/>
    <mergeCell ref="A116:B116"/>
    <mergeCell ref="A118:B119"/>
    <mergeCell ref="C118:C119"/>
    <mergeCell ref="I106:I107"/>
    <mergeCell ref="J106:J107"/>
    <mergeCell ref="L127:L129"/>
    <mergeCell ref="F128:G128"/>
    <mergeCell ref="H128:I128"/>
    <mergeCell ref="J128:K128"/>
    <mergeCell ref="A120:B120"/>
    <mergeCell ref="A121:B121"/>
    <mergeCell ref="A122:B122"/>
    <mergeCell ref="A123:B123"/>
    <mergeCell ref="A124:B124"/>
    <mergeCell ref="A125:B125"/>
    <mergeCell ref="A130:B130"/>
    <mergeCell ref="A131:B131"/>
    <mergeCell ref="A132:B132"/>
    <mergeCell ref="A133:B133"/>
    <mergeCell ref="A134:B134"/>
    <mergeCell ref="A136:B137"/>
    <mergeCell ref="A127:B129"/>
    <mergeCell ref="C127:E128"/>
    <mergeCell ref="F127:K127"/>
    <mergeCell ref="C136:C137"/>
    <mergeCell ref="D136:I136"/>
    <mergeCell ref="A138:B138"/>
    <mergeCell ref="A139:B139"/>
    <mergeCell ref="A140:B140"/>
    <mergeCell ref="A142:B144"/>
    <mergeCell ref="C142:E143"/>
    <mergeCell ref="F142:AQ142"/>
    <mergeCell ref="V143:W143"/>
    <mergeCell ref="X143:Y143"/>
    <mergeCell ref="AR142:AS143"/>
    <mergeCell ref="AT142:AU143"/>
    <mergeCell ref="F143:G143"/>
    <mergeCell ref="H143:I143"/>
    <mergeCell ref="J143:K143"/>
    <mergeCell ref="L143:M143"/>
    <mergeCell ref="N143:O143"/>
    <mergeCell ref="P143:Q143"/>
    <mergeCell ref="R143:S143"/>
    <mergeCell ref="T143:U143"/>
    <mergeCell ref="AL143:AM143"/>
    <mergeCell ref="AN143:AO143"/>
    <mergeCell ref="AP143:AQ143"/>
    <mergeCell ref="A145:B145"/>
    <mergeCell ref="A146:B146"/>
    <mergeCell ref="A147:B147"/>
    <mergeCell ref="Z143:AA143"/>
    <mergeCell ref="AB143:AC143"/>
    <mergeCell ref="AD143:AE143"/>
    <mergeCell ref="AF143:AG143"/>
    <mergeCell ref="AH143:AI143"/>
    <mergeCell ref="AJ143:AK14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78:B178"/>
    <mergeCell ref="A179:B179"/>
    <mergeCell ref="A180:B180"/>
    <mergeCell ref="A181:B181"/>
    <mergeCell ref="A182:B182"/>
    <mergeCell ref="A183:B183"/>
    <mergeCell ref="A172:B172"/>
    <mergeCell ref="A173:B173"/>
    <mergeCell ref="A174:B174"/>
    <mergeCell ref="A175:B175"/>
    <mergeCell ref="A176:B176"/>
    <mergeCell ref="A177:B177"/>
    <mergeCell ref="AR191:AS192"/>
    <mergeCell ref="AT191:AU192"/>
    <mergeCell ref="F192:G192"/>
    <mergeCell ref="H192:I192"/>
    <mergeCell ref="J192:K192"/>
    <mergeCell ref="L192:M192"/>
    <mergeCell ref="N192:O192"/>
    <mergeCell ref="A184:B184"/>
    <mergeCell ref="A185:B185"/>
    <mergeCell ref="A186:B186"/>
    <mergeCell ref="A187:B187"/>
    <mergeCell ref="A188:B188"/>
    <mergeCell ref="A189:B189"/>
    <mergeCell ref="AN192:AO192"/>
    <mergeCell ref="AP192:AQ192"/>
    <mergeCell ref="AL192:AM192"/>
    <mergeCell ref="A194:B194"/>
    <mergeCell ref="A195:B195"/>
    <mergeCell ref="A196:B196"/>
    <mergeCell ref="A197:B197"/>
    <mergeCell ref="AB192:AC192"/>
    <mergeCell ref="AD192:AE192"/>
    <mergeCell ref="AF192:AG192"/>
    <mergeCell ref="AH192:AI192"/>
    <mergeCell ref="AJ192:AK192"/>
    <mergeCell ref="P192:Q192"/>
    <mergeCell ref="R192:S192"/>
    <mergeCell ref="T192:U192"/>
    <mergeCell ref="V192:W192"/>
    <mergeCell ref="X192:Y192"/>
    <mergeCell ref="Z192:AA192"/>
    <mergeCell ref="A191:B193"/>
    <mergeCell ref="C191:E192"/>
    <mergeCell ref="F191:AQ191"/>
    <mergeCell ref="A202:B202"/>
    <mergeCell ref="A203:A205"/>
    <mergeCell ref="A206:A212"/>
    <mergeCell ref="A213:B213"/>
    <mergeCell ref="AF199:AG200"/>
    <mergeCell ref="F200:G200"/>
    <mergeCell ref="H200:I200"/>
    <mergeCell ref="J200:K200"/>
    <mergeCell ref="L200:M200"/>
    <mergeCell ref="N200:O200"/>
    <mergeCell ref="P200:Q200"/>
    <mergeCell ref="R200:S200"/>
    <mergeCell ref="T200:U200"/>
    <mergeCell ref="V200:W200"/>
    <mergeCell ref="A199:B201"/>
    <mergeCell ref="C199:E200"/>
    <mergeCell ref="F199:Y199"/>
    <mergeCell ref="Z199:AA200"/>
    <mergeCell ref="AB199:AC200"/>
    <mergeCell ref="AD199:AE200"/>
    <mergeCell ref="X200:Y200"/>
  </mergeCells>
  <dataValidations count="2">
    <dataValidation allowBlank="1" showInputMessage="1" showErrorMessage="1" errorTitle="Error de ingreso" error="Debe ingresar sólo números enteros positivos." sqref="A219:B220 AL11:AL39 F76:G76 M106:N106 A2:A5" xr:uid="{3ADD43CB-4582-4862-9F1A-6C9B9A8C19B2}"/>
    <dataValidation type="whole" operator="greaterThanOrEqual" allowBlank="1" showInputMessage="1" showErrorMessage="1" sqref="F44:S73 AH202 D108:K110 L109:N110 M108:N108 C115:C116 C120:C124 F130:L133 D138:I139 F203:AI213 F195:AU197 F145:AU189 F39:AK39 F11:AK30 H31:AK38 D77:E104 F78:G104" xr:uid="{64F1494A-E420-4ABC-AB6D-1B2D7F1FDC09}">
      <formula1>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DEDE-C475-4AAF-B510-38F71926FEE6}">
  <dimension ref="A1:AR84"/>
  <sheetViews>
    <sheetView zoomScaleNormal="100" workbookViewId="0"/>
  </sheetViews>
  <sheetFormatPr baseColWidth="10" defaultRowHeight="14.5"/>
  <cols>
    <col min="1" max="1" width="42.90625" customWidth="1"/>
    <col min="2" max="2" width="41" customWidth="1"/>
  </cols>
  <sheetData>
    <row r="1" spans="1:44">
      <c r="A1" s="1"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c r="A2" s="1" t="s">
        <v>449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1:44">
      <c r="A3" s="1" t="s">
        <v>450</v>
      </c>
      <c r="B3" s="3"/>
      <c r="C3" s="3"/>
      <c r="D3" s="67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c r="A4" s="1" t="s">
        <v>451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A5" s="1" t="s">
        <v>452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
      <c r="A6" s="673"/>
      <c r="B6" s="3"/>
      <c r="C6" s="3"/>
      <c r="D6" s="3"/>
      <c r="E6" s="3"/>
      <c r="F6" s="674"/>
      <c r="G6" s="674"/>
      <c r="H6" s="674"/>
      <c r="I6" s="674"/>
      <c r="J6" s="674"/>
      <c r="K6" s="67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5">
      <c r="A7" s="2000" t="s">
        <v>351</v>
      </c>
      <c r="B7" s="2000"/>
      <c r="C7" s="2000"/>
      <c r="D7" s="2000"/>
      <c r="E7" s="2000"/>
      <c r="F7" s="2000"/>
      <c r="G7" s="2000"/>
      <c r="H7" s="2000"/>
      <c r="I7" s="2000"/>
      <c r="J7" s="2000"/>
      <c r="K7" s="2000"/>
      <c r="L7" s="2000"/>
      <c r="M7" s="2000"/>
      <c r="N7" s="2000"/>
      <c r="O7" s="2000"/>
      <c r="P7" s="2000"/>
      <c r="Q7" s="2000"/>
      <c r="R7" s="2000"/>
      <c r="S7" s="2000"/>
      <c r="T7" s="2000"/>
      <c r="U7" s="674"/>
      <c r="V7" s="674"/>
      <c r="W7" s="674"/>
      <c r="X7" s="674"/>
      <c r="Y7" s="674"/>
      <c r="Z7" s="5"/>
      <c r="AA7" s="5"/>
      <c r="AB7" s="5"/>
      <c r="AC7" s="5"/>
      <c r="AD7" s="5"/>
      <c r="AE7" s="5"/>
      <c r="AF7" s="5"/>
      <c r="AG7" s="5"/>
      <c r="AH7" s="5"/>
      <c r="AI7" s="5"/>
      <c r="AJ7" s="5"/>
      <c r="AK7" s="5"/>
      <c r="AL7" s="5"/>
      <c r="AM7" s="5"/>
      <c r="AN7" s="5"/>
      <c r="AO7" s="3"/>
      <c r="AP7" s="5"/>
      <c r="AQ7" s="5"/>
      <c r="AR7" s="5"/>
    </row>
    <row r="8" spans="1:44" ht="15.5">
      <c r="A8" s="675" t="s">
        <v>352</v>
      </c>
      <c r="B8" s="676"/>
      <c r="C8" s="677"/>
      <c r="D8" s="678"/>
      <c r="E8" s="678"/>
      <c r="F8" s="678"/>
      <c r="G8" s="678"/>
      <c r="H8" s="678"/>
      <c r="I8" s="678"/>
      <c r="J8" s="678"/>
      <c r="K8" s="679"/>
      <c r="L8" s="678"/>
      <c r="M8" s="678"/>
      <c r="N8" s="680"/>
      <c r="O8" s="680"/>
      <c r="P8" s="5"/>
      <c r="Q8" s="5"/>
      <c r="R8" s="5"/>
      <c r="S8" s="5"/>
      <c r="T8" s="5"/>
      <c r="U8" s="5"/>
      <c r="V8" s="5"/>
      <c r="W8" s="5"/>
      <c r="X8" s="5"/>
      <c r="Y8" s="5"/>
      <c r="Z8" s="5"/>
      <c r="AA8" s="5"/>
      <c r="AB8" s="5"/>
      <c r="AC8" s="681"/>
      <c r="AD8" s="5"/>
      <c r="AE8" s="5"/>
      <c r="AF8" s="5"/>
      <c r="AG8" s="5"/>
      <c r="AH8" s="5"/>
      <c r="AI8" s="5"/>
      <c r="AJ8" s="5"/>
      <c r="AK8" s="5"/>
      <c r="AL8" s="5"/>
      <c r="AM8" s="5"/>
      <c r="AN8" s="5"/>
      <c r="AO8" s="3"/>
      <c r="AP8" s="5"/>
      <c r="AQ8" s="5"/>
      <c r="AR8" s="5"/>
    </row>
    <row r="9" spans="1:44">
      <c r="A9" s="2001" t="s">
        <v>353</v>
      </c>
      <c r="B9" s="2002"/>
      <c r="C9" s="1764" t="s">
        <v>5</v>
      </c>
      <c r="D9" s="1765"/>
      <c r="E9" s="1766"/>
      <c r="F9" s="2007" t="s">
        <v>354</v>
      </c>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8"/>
      <c r="AH9" s="2008"/>
      <c r="AI9" s="2008"/>
      <c r="AJ9" s="2008"/>
      <c r="AK9" s="2008"/>
      <c r="AL9" s="2008"/>
      <c r="AM9" s="2009"/>
      <c r="AN9" s="2010" t="s">
        <v>355</v>
      </c>
      <c r="AO9" s="1992" t="s">
        <v>7</v>
      </c>
      <c r="AP9" s="2013"/>
      <c r="AQ9" s="1992" t="s">
        <v>58</v>
      </c>
      <c r="AR9" s="1993"/>
    </row>
    <row r="10" spans="1:44">
      <c r="A10" s="2003"/>
      <c r="B10" s="2004"/>
      <c r="C10" s="1767"/>
      <c r="D10" s="1768"/>
      <c r="E10" s="1769"/>
      <c r="F10" s="1996" t="s">
        <v>356</v>
      </c>
      <c r="G10" s="1997"/>
      <c r="H10" s="1996" t="s">
        <v>357</v>
      </c>
      <c r="I10" s="1997"/>
      <c r="J10" s="1996" t="s">
        <v>264</v>
      </c>
      <c r="K10" s="1997"/>
      <c r="L10" s="1998" t="s">
        <v>13</v>
      </c>
      <c r="M10" s="1998"/>
      <c r="N10" s="1998" t="s">
        <v>14</v>
      </c>
      <c r="O10" s="1998"/>
      <c r="P10" s="1998" t="s">
        <v>15</v>
      </c>
      <c r="Q10" s="1998"/>
      <c r="R10" s="1999" t="s">
        <v>16</v>
      </c>
      <c r="S10" s="1722"/>
      <c r="T10" s="1998" t="s">
        <v>17</v>
      </c>
      <c r="U10" s="1998"/>
      <c r="V10" s="1999" t="s">
        <v>18</v>
      </c>
      <c r="W10" s="1722"/>
      <c r="X10" s="1998" t="s">
        <v>19</v>
      </c>
      <c r="Y10" s="1998"/>
      <c r="Z10" s="1999" t="s">
        <v>20</v>
      </c>
      <c r="AA10" s="1722"/>
      <c r="AB10" s="1998" t="s">
        <v>21</v>
      </c>
      <c r="AC10" s="1998"/>
      <c r="AD10" s="1999" t="s">
        <v>22</v>
      </c>
      <c r="AE10" s="1722"/>
      <c r="AF10" s="2015" t="s">
        <v>23</v>
      </c>
      <c r="AG10" s="2016"/>
      <c r="AH10" s="2015" t="s">
        <v>358</v>
      </c>
      <c r="AI10" s="2016"/>
      <c r="AJ10" s="2015" t="s">
        <v>359</v>
      </c>
      <c r="AK10" s="2016"/>
      <c r="AL10" s="2015" t="s">
        <v>360</v>
      </c>
      <c r="AM10" s="2017"/>
      <c r="AN10" s="2011"/>
      <c r="AO10" s="1994"/>
      <c r="AP10" s="2014"/>
      <c r="AQ10" s="1994"/>
      <c r="AR10" s="1995"/>
    </row>
    <row r="11" spans="1:44" ht="20">
      <c r="A11" s="2005"/>
      <c r="B11" s="2006"/>
      <c r="C11" s="682" t="s">
        <v>361</v>
      </c>
      <c r="D11" s="683" t="s">
        <v>42</v>
      </c>
      <c r="E11" s="684" t="s">
        <v>179</v>
      </c>
      <c r="F11" s="685" t="s">
        <v>42</v>
      </c>
      <c r="G11" s="684" t="s">
        <v>179</v>
      </c>
      <c r="H11" s="685" t="s">
        <v>42</v>
      </c>
      <c r="I11" s="684" t="s">
        <v>179</v>
      </c>
      <c r="J11" s="685" t="s">
        <v>42</v>
      </c>
      <c r="K11" s="684" t="s">
        <v>179</v>
      </c>
      <c r="L11" s="686" t="s">
        <v>42</v>
      </c>
      <c r="M11" s="687" t="s">
        <v>179</v>
      </c>
      <c r="N11" s="686" t="s">
        <v>42</v>
      </c>
      <c r="O11" s="687" t="s">
        <v>179</v>
      </c>
      <c r="P11" s="686" t="s">
        <v>42</v>
      </c>
      <c r="Q11" s="687" t="s">
        <v>179</v>
      </c>
      <c r="R11" s="688" t="s">
        <v>42</v>
      </c>
      <c r="S11" s="689" t="s">
        <v>179</v>
      </c>
      <c r="T11" s="686" t="s">
        <v>42</v>
      </c>
      <c r="U11" s="687" t="s">
        <v>179</v>
      </c>
      <c r="V11" s="688" t="s">
        <v>42</v>
      </c>
      <c r="W11" s="689" t="s">
        <v>179</v>
      </c>
      <c r="X11" s="686" t="s">
        <v>42</v>
      </c>
      <c r="Y11" s="687" t="s">
        <v>179</v>
      </c>
      <c r="Z11" s="688" t="s">
        <v>42</v>
      </c>
      <c r="AA11" s="689" t="s">
        <v>179</v>
      </c>
      <c r="AB11" s="686" t="s">
        <v>42</v>
      </c>
      <c r="AC11" s="687" t="s">
        <v>179</v>
      </c>
      <c r="AD11" s="688" t="s">
        <v>42</v>
      </c>
      <c r="AE11" s="689" t="s">
        <v>179</v>
      </c>
      <c r="AF11" s="690" t="s">
        <v>362</v>
      </c>
      <c r="AG11" s="691" t="s">
        <v>179</v>
      </c>
      <c r="AH11" s="690" t="s">
        <v>362</v>
      </c>
      <c r="AI11" s="691" t="s">
        <v>179</v>
      </c>
      <c r="AJ11" s="690" t="s">
        <v>362</v>
      </c>
      <c r="AK11" s="691" t="s">
        <v>179</v>
      </c>
      <c r="AL11" s="690" t="s">
        <v>362</v>
      </c>
      <c r="AM11" s="692" t="s">
        <v>179</v>
      </c>
      <c r="AN11" s="2012"/>
      <c r="AO11" s="693" t="s">
        <v>362</v>
      </c>
      <c r="AP11" s="694" t="s">
        <v>179</v>
      </c>
      <c r="AQ11" s="695" t="s">
        <v>362</v>
      </c>
      <c r="AR11" s="691" t="s">
        <v>179</v>
      </c>
    </row>
    <row r="12" spans="1:44">
      <c r="A12" s="1987" t="s">
        <v>363</v>
      </c>
      <c r="B12" s="669" t="s">
        <v>364</v>
      </c>
      <c r="C12" s="696"/>
      <c r="D12" s="697">
        <f>+F12</f>
        <v>0</v>
      </c>
      <c r="E12" s="698">
        <f>+G12</f>
        <v>0</v>
      </c>
      <c r="F12" s="699"/>
      <c r="G12" s="700"/>
      <c r="H12" s="701"/>
      <c r="I12" s="702"/>
      <c r="J12" s="701"/>
      <c r="K12" s="702"/>
      <c r="L12" s="701"/>
      <c r="M12" s="702"/>
      <c r="N12" s="701"/>
      <c r="O12" s="702"/>
      <c r="P12" s="701"/>
      <c r="Q12" s="702"/>
      <c r="R12" s="701"/>
      <c r="S12" s="702"/>
      <c r="T12" s="701"/>
      <c r="U12" s="702"/>
      <c r="V12" s="701"/>
      <c r="W12" s="702"/>
      <c r="X12" s="701"/>
      <c r="Y12" s="702"/>
      <c r="Z12" s="701"/>
      <c r="AA12" s="702"/>
      <c r="AB12" s="701"/>
      <c r="AC12" s="702"/>
      <c r="AD12" s="701"/>
      <c r="AE12" s="702"/>
      <c r="AF12" s="701"/>
      <c r="AG12" s="702"/>
      <c r="AH12" s="701"/>
      <c r="AI12" s="702"/>
      <c r="AJ12" s="701"/>
      <c r="AK12" s="702"/>
      <c r="AL12" s="701"/>
      <c r="AM12" s="703"/>
      <c r="AN12" s="704"/>
      <c r="AO12" s="705"/>
      <c r="AP12" s="700"/>
      <c r="AQ12" s="705"/>
      <c r="AR12" s="700"/>
    </row>
    <row r="13" spans="1:44">
      <c r="A13" s="1988"/>
      <c r="B13" s="670" t="s">
        <v>365</v>
      </c>
      <c r="C13" s="706"/>
      <c r="D13" s="707">
        <f>+F13</f>
        <v>0</v>
      </c>
      <c r="E13" s="708">
        <f t="shared" ref="D13:E14" si="0">+G13</f>
        <v>0</v>
      </c>
      <c r="F13" s="709"/>
      <c r="G13" s="710"/>
      <c r="H13" s="711"/>
      <c r="I13" s="712"/>
      <c r="J13" s="713"/>
      <c r="K13" s="714"/>
      <c r="L13" s="711"/>
      <c r="M13" s="712"/>
      <c r="N13" s="711"/>
      <c r="O13" s="712"/>
      <c r="P13" s="711"/>
      <c r="Q13" s="712"/>
      <c r="R13" s="711"/>
      <c r="S13" s="712"/>
      <c r="T13" s="711"/>
      <c r="U13" s="712"/>
      <c r="V13" s="711"/>
      <c r="W13" s="712"/>
      <c r="X13" s="711"/>
      <c r="Y13" s="712"/>
      <c r="Z13" s="711"/>
      <c r="AA13" s="712"/>
      <c r="AB13" s="711"/>
      <c r="AC13" s="712"/>
      <c r="AD13" s="711"/>
      <c r="AE13" s="712"/>
      <c r="AF13" s="711"/>
      <c r="AG13" s="712"/>
      <c r="AH13" s="711"/>
      <c r="AI13" s="712"/>
      <c r="AJ13" s="711"/>
      <c r="AK13" s="712"/>
      <c r="AL13" s="711"/>
      <c r="AM13" s="715"/>
      <c r="AN13" s="716"/>
      <c r="AO13" s="717"/>
      <c r="AP13" s="710"/>
      <c r="AQ13" s="717"/>
      <c r="AR13" s="710"/>
    </row>
    <row r="14" spans="1:44">
      <c r="A14" s="1980"/>
      <c r="B14" s="718" t="s">
        <v>366</v>
      </c>
      <c r="C14" s="719"/>
      <c r="D14" s="720">
        <f t="shared" si="0"/>
        <v>0</v>
      </c>
      <c r="E14" s="721">
        <f t="shared" si="0"/>
        <v>0</v>
      </c>
      <c r="F14" s="722"/>
      <c r="G14" s="723"/>
      <c r="H14" s="724"/>
      <c r="I14" s="725"/>
      <c r="J14" s="724"/>
      <c r="K14" s="725"/>
      <c r="L14" s="724"/>
      <c r="M14" s="725"/>
      <c r="N14" s="724"/>
      <c r="O14" s="725"/>
      <c r="P14" s="724"/>
      <c r="Q14" s="725"/>
      <c r="R14" s="724"/>
      <c r="S14" s="725"/>
      <c r="T14" s="724"/>
      <c r="U14" s="725"/>
      <c r="V14" s="724"/>
      <c r="W14" s="725"/>
      <c r="X14" s="724"/>
      <c r="Y14" s="725"/>
      <c r="Z14" s="724"/>
      <c r="AA14" s="725"/>
      <c r="AB14" s="724"/>
      <c r="AC14" s="725"/>
      <c r="AD14" s="724"/>
      <c r="AE14" s="725"/>
      <c r="AF14" s="724"/>
      <c r="AG14" s="725"/>
      <c r="AH14" s="724"/>
      <c r="AI14" s="725"/>
      <c r="AJ14" s="724"/>
      <c r="AK14" s="725"/>
      <c r="AL14" s="724"/>
      <c r="AM14" s="726"/>
      <c r="AN14" s="727"/>
      <c r="AO14" s="728"/>
      <c r="AP14" s="729"/>
      <c r="AQ14" s="728"/>
      <c r="AR14" s="729"/>
    </row>
    <row r="15" spans="1:44">
      <c r="A15" s="1989" t="s">
        <v>367</v>
      </c>
      <c r="B15" s="669" t="s">
        <v>364</v>
      </c>
      <c r="C15" s="696"/>
      <c r="D15" s="697">
        <f>+F15+H15+J15+L15+N15+P15+R15+T15+V15+X15+Z15+AB15+AD15+AF15+AH15+AJ15+AL15</f>
        <v>0</v>
      </c>
      <c r="E15" s="698">
        <f>+G15+I15+K15+M15+O15+Q15+S15+U15+W15+Y15+AA15+AC15+AE15+AG15+AI15+AK15+AM15</f>
        <v>0</v>
      </c>
      <c r="F15" s="699"/>
      <c r="G15" s="700"/>
      <c r="H15" s="699"/>
      <c r="I15" s="700"/>
      <c r="J15" s="699"/>
      <c r="K15" s="700"/>
      <c r="L15" s="699"/>
      <c r="M15" s="700"/>
      <c r="N15" s="699"/>
      <c r="O15" s="700"/>
      <c r="P15" s="699"/>
      <c r="Q15" s="700"/>
      <c r="R15" s="699"/>
      <c r="S15" s="700"/>
      <c r="T15" s="699"/>
      <c r="U15" s="700"/>
      <c r="V15" s="699"/>
      <c r="W15" s="700"/>
      <c r="X15" s="699"/>
      <c r="Y15" s="700"/>
      <c r="Z15" s="699"/>
      <c r="AA15" s="700"/>
      <c r="AB15" s="699"/>
      <c r="AC15" s="700"/>
      <c r="AD15" s="699"/>
      <c r="AE15" s="700"/>
      <c r="AF15" s="699"/>
      <c r="AG15" s="700"/>
      <c r="AH15" s="699"/>
      <c r="AI15" s="700"/>
      <c r="AJ15" s="699"/>
      <c r="AK15" s="700"/>
      <c r="AL15" s="699"/>
      <c r="AM15" s="730"/>
      <c r="AN15" s="704"/>
      <c r="AO15" s="705"/>
      <c r="AP15" s="700"/>
      <c r="AQ15" s="705"/>
      <c r="AR15" s="700"/>
    </row>
    <row r="16" spans="1:44">
      <c r="A16" s="1990"/>
      <c r="B16" s="670" t="s">
        <v>365</v>
      </c>
      <c r="C16" s="706"/>
      <c r="D16" s="707">
        <f t="shared" ref="D16:E17" si="1">+F16+H16+J16+L16+N16+P16+R16+T16+V16+X16+Z16+AB16+AD16+AF16+AH16+AJ16+AL16</f>
        <v>0</v>
      </c>
      <c r="E16" s="708">
        <f t="shared" si="1"/>
        <v>0</v>
      </c>
      <c r="F16" s="709"/>
      <c r="G16" s="710"/>
      <c r="H16" s="709"/>
      <c r="I16" s="710"/>
      <c r="J16" s="709"/>
      <c r="K16" s="710"/>
      <c r="L16" s="709"/>
      <c r="M16" s="710"/>
      <c r="N16" s="709"/>
      <c r="O16" s="710"/>
      <c r="P16" s="709"/>
      <c r="Q16" s="710"/>
      <c r="R16" s="709"/>
      <c r="S16" s="710"/>
      <c r="T16" s="709"/>
      <c r="U16" s="710"/>
      <c r="V16" s="709"/>
      <c r="W16" s="710"/>
      <c r="X16" s="709"/>
      <c r="Y16" s="710"/>
      <c r="Z16" s="709"/>
      <c r="AA16" s="710"/>
      <c r="AB16" s="709"/>
      <c r="AC16" s="710"/>
      <c r="AD16" s="709"/>
      <c r="AE16" s="710"/>
      <c r="AF16" s="709"/>
      <c r="AG16" s="710"/>
      <c r="AH16" s="709"/>
      <c r="AI16" s="710"/>
      <c r="AJ16" s="709"/>
      <c r="AK16" s="710"/>
      <c r="AL16" s="709"/>
      <c r="AM16" s="731"/>
      <c r="AN16" s="716"/>
      <c r="AO16" s="717"/>
      <c r="AP16" s="710"/>
      <c r="AQ16" s="717"/>
      <c r="AR16" s="710"/>
    </row>
    <row r="17" spans="1:44">
      <c r="A17" s="1991"/>
      <c r="B17" s="718" t="s">
        <v>366</v>
      </c>
      <c r="C17" s="732"/>
      <c r="D17" s="733">
        <f t="shared" si="1"/>
        <v>0</v>
      </c>
      <c r="E17" s="734">
        <f t="shared" si="1"/>
        <v>0</v>
      </c>
      <c r="F17" s="722"/>
      <c r="G17" s="723"/>
      <c r="H17" s="735"/>
      <c r="I17" s="729"/>
      <c r="J17" s="735"/>
      <c r="K17" s="729"/>
      <c r="L17" s="735"/>
      <c r="M17" s="729"/>
      <c r="N17" s="735"/>
      <c r="O17" s="729"/>
      <c r="P17" s="735"/>
      <c r="Q17" s="729"/>
      <c r="R17" s="735"/>
      <c r="S17" s="729"/>
      <c r="T17" s="735"/>
      <c r="U17" s="729"/>
      <c r="V17" s="735"/>
      <c r="W17" s="729"/>
      <c r="X17" s="735"/>
      <c r="Y17" s="729"/>
      <c r="Z17" s="735"/>
      <c r="AA17" s="729"/>
      <c r="AB17" s="735"/>
      <c r="AC17" s="729"/>
      <c r="AD17" s="735"/>
      <c r="AE17" s="729"/>
      <c r="AF17" s="735"/>
      <c r="AG17" s="729"/>
      <c r="AH17" s="735"/>
      <c r="AI17" s="729"/>
      <c r="AJ17" s="735"/>
      <c r="AK17" s="729"/>
      <c r="AL17" s="735"/>
      <c r="AM17" s="736"/>
      <c r="AN17" s="737"/>
      <c r="AO17" s="738"/>
      <c r="AP17" s="723"/>
      <c r="AQ17" s="738"/>
      <c r="AR17" s="723"/>
    </row>
    <row r="18" spans="1:44">
      <c r="A18" s="1979" t="s">
        <v>368</v>
      </c>
      <c r="B18" s="739" t="s">
        <v>369</v>
      </c>
      <c r="C18" s="706"/>
      <c r="D18" s="740">
        <f>+V18+X18+Z18+AB18+AD18+AF18+AH18+AJ18+AL18</f>
        <v>0</v>
      </c>
      <c r="E18" s="741">
        <f>+W18+Y18+AA18+AC18+AE18+AG18+AI18+AK18+AM18</f>
        <v>0</v>
      </c>
      <c r="F18" s="701"/>
      <c r="G18" s="702"/>
      <c r="H18" s="701"/>
      <c r="I18" s="702"/>
      <c r="J18" s="701"/>
      <c r="K18" s="702"/>
      <c r="L18" s="701"/>
      <c r="M18" s="702"/>
      <c r="N18" s="701"/>
      <c r="O18" s="702"/>
      <c r="P18" s="701"/>
      <c r="Q18" s="702"/>
      <c r="R18" s="701"/>
      <c r="S18" s="702"/>
      <c r="T18" s="701"/>
      <c r="U18" s="702"/>
      <c r="V18" s="699"/>
      <c r="W18" s="700"/>
      <c r="X18" s="699"/>
      <c r="Y18" s="700"/>
      <c r="Z18" s="699"/>
      <c r="AA18" s="700"/>
      <c r="AB18" s="699"/>
      <c r="AC18" s="700"/>
      <c r="AD18" s="699"/>
      <c r="AE18" s="700"/>
      <c r="AF18" s="699"/>
      <c r="AG18" s="700"/>
      <c r="AH18" s="699"/>
      <c r="AI18" s="700"/>
      <c r="AJ18" s="699"/>
      <c r="AK18" s="700"/>
      <c r="AL18" s="699"/>
      <c r="AM18" s="730"/>
      <c r="AN18" s="704"/>
      <c r="AO18" s="705"/>
      <c r="AP18" s="700"/>
      <c r="AQ18" s="705"/>
      <c r="AR18" s="700"/>
    </row>
    <row r="19" spans="1:44">
      <c r="A19" s="1980"/>
      <c r="B19" s="742" t="s">
        <v>370</v>
      </c>
      <c r="C19" s="743"/>
      <c r="D19" s="733">
        <f>+V19+X19+Z19+AB19+AD19+AF19+AH19+AJ19+AL19</f>
        <v>0</v>
      </c>
      <c r="E19" s="734">
        <f>+W19+Y19+AA19+AC19+AE19+AG19+AI19+AK19+AM19</f>
        <v>0</v>
      </c>
      <c r="F19" s="744"/>
      <c r="G19" s="745"/>
      <c r="H19" s="744"/>
      <c r="I19" s="745"/>
      <c r="J19" s="744"/>
      <c r="K19" s="745"/>
      <c r="L19" s="744"/>
      <c r="M19" s="745"/>
      <c r="N19" s="744"/>
      <c r="O19" s="745"/>
      <c r="P19" s="744"/>
      <c r="Q19" s="745"/>
      <c r="R19" s="746"/>
      <c r="S19" s="747"/>
      <c r="T19" s="746"/>
      <c r="U19" s="747"/>
      <c r="V19" s="748"/>
      <c r="W19" s="749"/>
      <c r="X19" s="748"/>
      <c r="Y19" s="749"/>
      <c r="Z19" s="748"/>
      <c r="AA19" s="749"/>
      <c r="AB19" s="748"/>
      <c r="AC19" s="749"/>
      <c r="AD19" s="748"/>
      <c r="AE19" s="749"/>
      <c r="AF19" s="748"/>
      <c r="AG19" s="749"/>
      <c r="AH19" s="748"/>
      <c r="AI19" s="749"/>
      <c r="AJ19" s="748"/>
      <c r="AK19" s="749"/>
      <c r="AL19" s="748"/>
      <c r="AM19" s="750"/>
      <c r="AN19" s="737"/>
      <c r="AO19" s="738"/>
      <c r="AP19" s="723"/>
      <c r="AQ19" s="738"/>
      <c r="AR19" s="723"/>
    </row>
    <row r="20" spans="1:44">
      <c r="A20" s="1981" t="s">
        <v>371</v>
      </c>
      <c r="B20" s="1982"/>
      <c r="C20" s="706"/>
      <c r="D20" s="740">
        <f>+F20+H20+J20+L20+N20+P20+R20+T20+V20+X20+Z20+AB20+AD20+AF20+AH20+AJ20+AL20</f>
        <v>0</v>
      </c>
      <c r="E20" s="741">
        <f>+G20+I20+K20+M20+O20+Q20+S20+U20+W20+Y20+AA20+AC20+AE20+AG20+AI20+AK20+AM20</f>
        <v>0</v>
      </c>
      <c r="F20" s="751"/>
      <c r="G20" s="752"/>
      <c r="H20" s="751"/>
      <c r="I20" s="752"/>
      <c r="J20" s="751"/>
      <c r="K20" s="752"/>
      <c r="L20" s="751"/>
      <c r="M20" s="752"/>
      <c r="N20" s="751"/>
      <c r="O20" s="752"/>
      <c r="P20" s="751"/>
      <c r="Q20" s="752"/>
      <c r="R20" s="751"/>
      <c r="S20" s="752"/>
      <c r="T20" s="751"/>
      <c r="U20" s="752"/>
      <c r="V20" s="751"/>
      <c r="W20" s="752"/>
      <c r="X20" s="751"/>
      <c r="Y20" s="752"/>
      <c r="Z20" s="751"/>
      <c r="AA20" s="752"/>
      <c r="AB20" s="751"/>
      <c r="AC20" s="752"/>
      <c r="AD20" s="751"/>
      <c r="AE20" s="752"/>
      <c r="AF20" s="751"/>
      <c r="AG20" s="752"/>
      <c r="AH20" s="751"/>
      <c r="AI20" s="752"/>
      <c r="AJ20" s="751"/>
      <c r="AK20" s="752"/>
      <c r="AL20" s="751"/>
      <c r="AM20" s="753"/>
      <c r="AN20" s="754"/>
      <c r="AO20" s="755"/>
      <c r="AP20" s="752"/>
      <c r="AQ20" s="755"/>
      <c r="AR20" s="752"/>
    </row>
    <row r="21" spans="1:44">
      <c r="A21" s="1983" t="s">
        <v>372</v>
      </c>
      <c r="B21" s="1984"/>
      <c r="C21" s="756"/>
      <c r="D21" s="707">
        <f t="shared" ref="D21:E22" si="2">+F21+H21+J21+L21+N21+P21+R21+T21+V21+X21+Z21+AB21+AD21+AF21+AH21+AJ21+AL21</f>
        <v>0</v>
      </c>
      <c r="E21" s="708">
        <f>+G21+I21+K21+M21+O21+Q21+S21+U21+W21+Y21+AA21+AC21+AE21+AG21+AI21+AK21+AM21</f>
        <v>0</v>
      </c>
      <c r="F21" s="751"/>
      <c r="G21" s="752"/>
      <c r="H21" s="751"/>
      <c r="I21" s="752"/>
      <c r="J21" s="751"/>
      <c r="K21" s="752"/>
      <c r="L21" s="751"/>
      <c r="M21" s="752"/>
      <c r="N21" s="751"/>
      <c r="O21" s="752"/>
      <c r="P21" s="751"/>
      <c r="Q21" s="752"/>
      <c r="R21" s="751"/>
      <c r="S21" s="752"/>
      <c r="T21" s="751"/>
      <c r="U21" s="752"/>
      <c r="V21" s="751"/>
      <c r="W21" s="752"/>
      <c r="X21" s="751"/>
      <c r="Y21" s="752"/>
      <c r="Z21" s="751"/>
      <c r="AA21" s="752"/>
      <c r="AB21" s="751"/>
      <c r="AC21" s="752"/>
      <c r="AD21" s="751"/>
      <c r="AE21" s="752"/>
      <c r="AF21" s="751"/>
      <c r="AG21" s="752"/>
      <c r="AH21" s="751"/>
      <c r="AI21" s="752"/>
      <c r="AJ21" s="751"/>
      <c r="AK21" s="752"/>
      <c r="AL21" s="751"/>
      <c r="AM21" s="753"/>
      <c r="AN21" s="757"/>
      <c r="AO21" s="717"/>
      <c r="AP21" s="710"/>
      <c r="AQ21" s="717"/>
      <c r="AR21" s="710"/>
    </row>
    <row r="22" spans="1:44">
      <c r="A22" s="1985" t="s">
        <v>373</v>
      </c>
      <c r="B22" s="1986"/>
      <c r="C22" s="758"/>
      <c r="D22" s="707">
        <f t="shared" si="2"/>
        <v>0</v>
      </c>
      <c r="E22" s="708">
        <f t="shared" si="2"/>
        <v>0</v>
      </c>
      <c r="F22" s="751"/>
      <c r="G22" s="752"/>
      <c r="H22" s="751"/>
      <c r="I22" s="752"/>
      <c r="J22" s="751"/>
      <c r="K22" s="752"/>
      <c r="L22" s="751"/>
      <c r="M22" s="752"/>
      <c r="N22" s="751"/>
      <c r="O22" s="752"/>
      <c r="P22" s="751"/>
      <c r="Q22" s="752"/>
      <c r="R22" s="751"/>
      <c r="S22" s="752"/>
      <c r="T22" s="751"/>
      <c r="U22" s="752"/>
      <c r="V22" s="751"/>
      <c r="W22" s="752"/>
      <c r="X22" s="751"/>
      <c r="Y22" s="752"/>
      <c r="Z22" s="751"/>
      <c r="AA22" s="752"/>
      <c r="AB22" s="751"/>
      <c r="AC22" s="752"/>
      <c r="AD22" s="751"/>
      <c r="AE22" s="752"/>
      <c r="AF22" s="751"/>
      <c r="AG22" s="752"/>
      <c r="AH22" s="751"/>
      <c r="AI22" s="752"/>
      <c r="AJ22" s="751"/>
      <c r="AK22" s="752"/>
      <c r="AL22" s="751"/>
      <c r="AM22" s="753"/>
      <c r="AN22" s="757"/>
      <c r="AO22" s="717"/>
      <c r="AP22" s="710"/>
      <c r="AQ22" s="717"/>
      <c r="AR22" s="710"/>
    </row>
    <row r="23" spans="1:44">
      <c r="A23" s="1983" t="s">
        <v>294</v>
      </c>
      <c r="B23" s="1984"/>
      <c r="C23" s="706"/>
      <c r="D23" s="740">
        <f>+F23+H23+J23+L23+N23+P23+R23+T23+V23+X23+Z23+AB23+AD23</f>
        <v>0</v>
      </c>
      <c r="E23" s="741">
        <f>+G23+I23+K23+M23+O23+Q23+S23+U23+W23+Y23+AA23+AC23+AE23</f>
        <v>0</v>
      </c>
      <c r="F23" s="751"/>
      <c r="G23" s="752"/>
      <c r="H23" s="751"/>
      <c r="I23" s="752"/>
      <c r="J23" s="751"/>
      <c r="K23" s="752"/>
      <c r="L23" s="751"/>
      <c r="M23" s="752"/>
      <c r="N23" s="751"/>
      <c r="O23" s="752"/>
      <c r="P23" s="751"/>
      <c r="Q23" s="752"/>
      <c r="R23" s="751"/>
      <c r="S23" s="752"/>
      <c r="T23" s="751"/>
      <c r="U23" s="752"/>
      <c r="V23" s="751"/>
      <c r="W23" s="752"/>
      <c r="X23" s="751"/>
      <c r="Y23" s="752"/>
      <c r="Z23" s="751"/>
      <c r="AA23" s="752"/>
      <c r="AB23" s="751"/>
      <c r="AC23" s="752"/>
      <c r="AD23" s="751"/>
      <c r="AE23" s="752"/>
      <c r="AF23" s="713"/>
      <c r="AG23" s="714"/>
      <c r="AH23" s="713"/>
      <c r="AI23" s="714"/>
      <c r="AJ23" s="713"/>
      <c r="AK23" s="714"/>
      <c r="AL23" s="713"/>
      <c r="AM23" s="759"/>
      <c r="AN23" s="757"/>
      <c r="AO23" s="717"/>
      <c r="AP23" s="710"/>
      <c r="AQ23" s="717"/>
      <c r="AR23" s="710"/>
    </row>
    <row r="24" spans="1:44">
      <c r="A24" s="1968" t="s">
        <v>270</v>
      </c>
      <c r="B24" s="1969"/>
      <c r="C24" s="756"/>
      <c r="D24" s="707">
        <f>+F24+H24+J24+L24+N24+P24+R24+T24+V24+X24+Z24+AB24+AD24+AF24+AH24+AJ24+AL24</f>
        <v>0</v>
      </c>
      <c r="E24" s="708">
        <f t="shared" ref="E24:E43" si="3">+G24+I24+K24+M24+O24+Q24+S24+U24+W24+Y24+AA24+AC24+AE24+AG24+AI24+AK24+AM24</f>
        <v>0</v>
      </c>
      <c r="F24" s="751"/>
      <c r="G24" s="752"/>
      <c r="H24" s="751"/>
      <c r="I24" s="752"/>
      <c r="J24" s="751"/>
      <c r="K24" s="752"/>
      <c r="L24" s="751"/>
      <c r="M24" s="752"/>
      <c r="N24" s="751"/>
      <c r="O24" s="752"/>
      <c r="P24" s="751"/>
      <c r="Q24" s="752"/>
      <c r="R24" s="751"/>
      <c r="S24" s="752"/>
      <c r="T24" s="751"/>
      <c r="U24" s="752"/>
      <c r="V24" s="751"/>
      <c r="W24" s="752"/>
      <c r="X24" s="751"/>
      <c r="Y24" s="752"/>
      <c r="Z24" s="751"/>
      <c r="AA24" s="752"/>
      <c r="AB24" s="751"/>
      <c r="AC24" s="752"/>
      <c r="AD24" s="751"/>
      <c r="AE24" s="752"/>
      <c r="AF24" s="751"/>
      <c r="AG24" s="752"/>
      <c r="AH24" s="751"/>
      <c r="AI24" s="752"/>
      <c r="AJ24" s="751"/>
      <c r="AK24" s="752"/>
      <c r="AL24" s="751"/>
      <c r="AM24" s="753"/>
      <c r="AN24" s="757"/>
      <c r="AO24" s="717"/>
      <c r="AP24" s="710"/>
      <c r="AQ24" s="717"/>
      <c r="AR24" s="710"/>
    </row>
    <row r="25" spans="1:44">
      <c r="A25" s="1975" t="s">
        <v>374</v>
      </c>
      <c r="B25" s="1976"/>
      <c r="C25" s="760">
        <f t="shared" ref="C25:C27" si="4">SUM(D25:E25)</f>
        <v>0</v>
      </c>
      <c r="D25" s="707">
        <f t="shared" ref="D25:D43" si="5">+F25+H25+J25+L25+N25+P25+R25+T25+V25+X25+Z25+AB25+AD25+AF25+AH25+AJ25+AL25</f>
        <v>0</v>
      </c>
      <c r="E25" s="708">
        <f t="shared" si="3"/>
        <v>0</v>
      </c>
      <c r="F25" s="751"/>
      <c r="G25" s="752"/>
      <c r="H25" s="751"/>
      <c r="I25" s="752"/>
      <c r="J25" s="751"/>
      <c r="K25" s="752"/>
      <c r="L25" s="751"/>
      <c r="M25" s="752"/>
      <c r="N25" s="751"/>
      <c r="O25" s="752"/>
      <c r="P25" s="751"/>
      <c r="Q25" s="752"/>
      <c r="R25" s="751"/>
      <c r="S25" s="752"/>
      <c r="T25" s="751"/>
      <c r="U25" s="752"/>
      <c r="V25" s="751"/>
      <c r="W25" s="752"/>
      <c r="X25" s="751"/>
      <c r="Y25" s="752"/>
      <c r="Z25" s="751"/>
      <c r="AA25" s="752"/>
      <c r="AB25" s="751"/>
      <c r="AC25" s="752"/>
      <c r="AD25" s="751"/>
      <c r="AE25" s="752"/>
      <c r="AF25" s="751"/>
      <c r="AG25" s="752"/>
      <c r="AH25" s="751"/>
      <c r="AI25" s="752"/>
      <c r="AJ25" s="751"/>
      <c r="AK25" s="752"/>
      <c r="AL25" s="751"/>
      <c r="AM25" s="753"/>
      <c r="AN25" s="757"/>
      <c r="AO25" s="717"/>
      <c r="AP25" s="710"/>
      <c r="AQ25" s="717"/>
      <c r="AR25" s="710"/>
    </row>
    <row r="26" spans="1:44">
      <c r="A26" s="1975" t="s">
        <v>375</v>
      </c>
      <c r="B26" s="1976"/>
      <c r="C26" s="760">
        <f t="shared" si="4"/>
        <v>0</v>
      </c>
      <c r="D26" s="707">
        <f t="shared" si="5"/>
        <v>0</v>
      </c>
      <c r="E26" s="708">
        <f t="shared" si="3"/>
        <v>0</v>
      </c>
      <c r="F26" s="751"/>
      <c r="G26" s="752"/>
      <c r="H26" s="751"/>
      <c r="I26" s="752"/>
      <c r="J26" s="751"/>
      <c r="K26" s="752"/>
      <c r="L26" s="751"/>
      <c r="M26" s="752"/>
      <c r="N26" s="751"/>
      <c r="O26" s="752"/>
      <c r="P26" s="751"/>
      <c r="Q26" s="752"/>
      <c r="R26" s="751"/>
      <c r="S26" s="752"/>
      <c r="T26" s="751"/>
      <c r="U26" s="752"/>
      <c r="V26" s="751"/>
      <c r="W26" s="752"/>
      <c r="X26" s="751"/>
      <c r="Y26" s="752"/>
      <c r="Z26" s="751"/>
      <c r="AA26" s="752"/>
      <c r="AB26" s="751"/>
      <c r="AC26" s="752"/>
      <c r="AD26" s="751"/>
      <c r="AE26" s="752"/>
      <c r="AF26" s="751"/>
      <c r="AG26" s="752"/>
      <c r="AH26" s="751"/>
      <c r="AI26" s="752"/>
      <c r="AJ26" s="751"/>
      <c r="AK26" s="752"/>
      <c r="AL26" s="751"/>
      <c r="AM26" s="753"/>
      <c r="AN26" s="757"/>
      <c r="AO26" s="717"/>
      <c r="AP26" s="710"/>
      <c r="AQ26" s="717"/>
      <c r="AR26" s="710"/>
    </row>
    <row r="27" spans="1:44">
      <c r="A27" s="1975" t="s">
        <v>376</v>
      </c>
      <c r="B27" s="1976"/>
      <c r="C27" s="760">
        <f t="shared" si="4"/>
        <v>0</v>
      </c>
      <c r="D27" s="707">
        <f t="shared" si="5"/>
        <v>0</v>
      </c>
      <c r="E27" s="708">
        <f t="shared" si="3"/>
        <v>0</v>
      </c>
      <c r="F27" s="751"/>
      <c r="G27" s="752"/>
      <c r="H27" s="751"/>
      <c r="I27" s="752"/>
      <c r="J27" s="751"/>
      <c r="K27" s="752"/>
      <c r="L27" s="751"/>
      <c r="M27" s="752"/>
      <c r="N27" s="751"/>
      <c r="O27" s="752"/>
      <c r="P27" s="751"/>
      <c r="Q27" s="752"/>
      <c r="R27" s="751"/>
      <c r="S27" s="752"/>
      <c r="T27" s="751"/>
      <c r="U27" s="752"/>
      <c r="V27" s="751"/>
      <c r="W27" s="752"/>
      <c r="X27" s="751"/>
      <c r="Y27" s="752"/>
      <c r="Z27" s="751"/>
      <c r="AA27" s="752"/>
      <c r="AB27" s="751"/>
      <c r="AC27" s="752"/>
      <c r="AD27" s="751"/>
      <c r="AE27" s="752"/>
      <c r="AF27" s="751"/>
      <c r="AG27" s="752"/>
      <c r="AH27" s="751"/>
      <c r="AI27" s="752"/>
      <c r="AJ27" s="751"/>
      <c r="AK27" s="752"/>
      <c r="AL27" s="751"/>
      <c r="AM27" s="753"/>
      <c r="AN27" s="757"/>
      <c r="AO27" s="717"/>
      <c r="AP27" s="710"/>
      <c r="AQ27" s="717"/>
      <c r="AR27" s="710"/>
    </row>
    <row r="28" spans="1:44">
      <c r="A28" s="1977" t="s">
        <v>377</v>
      </c>
      <c r="B28" s="1978"/>
      <c r="C28" s="758"/>
      <c r="D28" s="707">
        <f t="shared" si="5"/>
        <v>0</v>
      </c>
      <c r="E28" s="708">
        <f t="shared" si="3"/>
        <v>0</v>
      </c>
      <c r="F28" s="751"/>
      <c r="G28" s="752"/>
      <c r="H28" s="751"/>
      <c r="I28" s="752"/>
      <c r="J28" s="751"/>
      <c r="K28" s="752"/>
      <c r="L28" s="751"/>
      <c r="M28" s="752"/>
      <c r="N28" s="751"/>
      <c r="O28" s="752"/>
      <c r="P28" s="751"/>
      <c r="Q28" s="752"/>
      <c r="R28" s="751"/>
      <c r="S28" s="752"/>
      <c r="T28" s="751"/>
      <c r="U28" s="752"/>
      <c r="V28" s="751"/>
      <c r="W28" s="752"/>
      <c r="X28" s="751"/>
      <c r="Y28" s="752"/>
      <c r="Z28" s="751"/>
      <c r="AA28" s="752"/>
      <c r="AB28" s="751"/>
      <c r="AC28" s="752"/>
      <c r="AD28" s="751"/>
      <c r="AE28" s="752"/>
      <c r="AF28" s="751"/>
      <c r="AG28" s="752"/>
      <c r="AH28" s="751"/>
      <c r="AI28" s="752"/>
      <c r="AJ28" s="751"/>
      <c r="AK28" s="752"/>
      <c r="AL28" s="751"/>
      <c r="AM28" s="753"/>
      <c r="AN28" s="757"/>
      <c r="AO28" s="717"/>
      <c r="AP28" s="710"/>
      <c r="AQ28" s="717"/>
      <c r="AR28" s="710"/>
    </row>
    <row r="29" spans="1:44">
      <c r="A29" s="1968" t="s">
        <v>378</v>
      </c>
      <c r="B29" s="1969"/>
      <c r="C29" s="756"/>
      <c r="D29" s="707">
        <f t="shared" si="5"/>
        <v>0</v>
      </c>
      <c r="E29" s="708">
        <f t="shared" si="3"/>
        <v>0</v>
      </c>
      <c r="F29" s="751"/>
      <c r="G29" s="752"/>
      <c r="H29" s="751"/>
      <c r="I29" s="752"/>
      <c r="J29" s="751"/>
      <c r="K29" s="752"/>
      <c r="L29" s="751"/>
      <c r="M29" s="752"/>
      <c r="N29" s="751"/>
      <c r="O29" s="752"/>
      <c r="P29" s="751"/>
      <c r="Q29" s="752"/>
      <c r="R29" s="751"/>
      <c r="S29" s="752"/>
      <c r="T29" s="751"/>
      <c r="U29" s="752"/>
      <c r="V29" s="751"/>
      <c r="W29" s="752"/>
      <c r="X29" s="751"/>
      <c r="Y29" s="752"/>
      <c r="Z29" s="751"/>
      <c r="AA29" s="752"/>
      <c r="AB29" s="751"/>
      <c r="AC29" s="752"/>
      <c r="AD29" s="751"/>
      <c r="AE29" s="752"/>
      <c r="AF29" s="751"/>
      <c r="AG29" s="752"/>
      <c r="AH29" s="751"/>
      <c r="AI29" s="752"/>
      <c r="AJ29" s="751"/>
      <c r="AK29" s="752"/>
      <c r="AL29" s="751"/>
      <c r="AM29" s="753"/>
      <c r="AN29" s="757"/>
      <c r="AO29" s="717"/>
      <c r="AP29" s="710"/>
      <c r="AQ29" s="717"/>
      <c r="AR29" s="710"/>
    </row>
    <row r="30" spans="1:44">
      <c r="A30" s="1968" t="s">
        <v>379</v>
      </c>
      <c r="B30" s="1969"/>
      <c r="C30" s="756"/>
      <c r="D30" s="707">
        <f t="shared" si="5"/>
        <v>0</v>
      </c>
      <c r="E30" s="708">
        <f t="shared" si="3"/>
        <v>0</v>
      </c>
      <c r="F30" s="751"/>
      <c r="G30" s="752"/>
      <c r="H30" s="751"/>
      <c r="I30" s="752"/>
      <c r="J30" s="751"/>
      <c r="K30" s="752"/>
      <c r="L30" s="751"/>
      <c r="M30" s="752"/>
      <c r="N30" s="751"/>
      <c r="O30" s="752"/>
      <c r="P30" s="751"/>
      <c r="Q30" s="752"/>
      <c r="R30" s="751"/>
      <c r="S30" s="752"/>
      <c r="T30" s="751"/>
      <c r="U30" s="752"/>
      <c r="V30" s="751"/>
      <c r="W30" s="752"/>
      <c r="X30" s="751"/>
      <c r="Y30" s="752"/>
      <c r="Z30" s="751"/>
      <c r="AA30" s="752"/>
      <c r="AB30" s="751"/>
      <c r="AC30" s="752"/>
      <c r="AD30" s="751"/>
      <c r="AE30" s="752"/>
      <c r="AF30" s="751"/>
      <c r="AG30" s="752"/>
      <c r="AH30" s="751"/>
      <c r="AI30" s="752"/>
      <c r="AJ30" s="751"/>
      <c r="AK30" s="752"/>
      <c r="AL30" s="751"/>
      <c r="AM30" s="753"/>
      <c r="AN30" s="757"/>
      <c r="AO30" s="717"/>
      <c r="AP30" s="710"/>
      <c r="AQ30" s="717"/>
      <c r="AR30" s="710"/>
    </row>
    <row r="31" spans="1:44">
      <c r="A31" s="1966" t="s">
        <v>380</v>
      </c>
      <c r="B31" s="1967"/>
      <c r="C31" s="756"/>
      <c r="D31" s="707">
        <f t="shared" si="5"/>
        <v>0</v>
      </c>
      <c r="E31" s="708">
        <f t="shared" si="3"/>
        <v>0</v>
      </c>
      <c r="F31" s="751"/>
      <c r="G31" s="752"/>
      <c r="H31" s="751"/>
      <c r="I31" s="752"/>
      <c r="J31" s="751"/>
      <c r="K31" s="752"/>
      <c r="L31" s="751"/>
      <c r="M31" s="752"/>
      <c r="N31" s="751"/>
      <c r="O31" s="752"/>
      <c r="P31" s="751"/>
      <c r="Q31" s="752"/>
      <c r="R31" s="751"/>
      <c r="S31" s="752"/>
      <c r="T31" s="751"/>
      <c r="U31" s="752"/>
      <c r="V31" s="751"/>
      <c r="W31" s="752"/>
      <c r="X31" s="751"/>
      <c r="Y31" s="752"/>
      <c r="Z31" s="751"/>
      <c r="AA31" s="752"/>
      <c r="AB31" s="751"/>
      <c r="AC31" s="752"/>
      <c r="AD31" s="751"/>
      <c r="AE31" s="752"/>
      <c r="AF31" s="751"/>
      <c r="AG31" s="752"/>
      <c r="AH31" s="751"/>
      <c r="AI31" s="752"/>
      <c r="AJ31" s="751"/>
      <c r="AK31" s="752"/>
      <c r="AL31" s="751"/>
      <c r="AM31" s="753"/>
      <c r="AN31" s="757"/>
      <c r="AO31" s="717"/>
      <c r="AP31" s="710"/>
      <c r="AQ31" s="717"/>
      <c r="AR31" s="710"/>
    </row>
    <row r="32" spans="1:44">
      <c r="A32" s="1966" t="s">
        <v>381</v>
      </c>
      <c r="B32" s="1967"/>
      <c r="C32" s="756"/>
      <c r="D32" s="707">
        <f t="shared" si="5"/>
        <v>0</v>
      </c>
      <c r="E32" s="708">
        <f t="shared" si="3"/>
        <v>0</v>
      </c>
      <c r="F32" s="751"/>
      <c r="G32" s="752"/>
      <c r="H32" s="751"/>
      <c r="I32" s="752"/>
      <c r="J32" s="751"/>
      <c r="K32" s="752"/>
      <c r="L32" s="751"/>
      <c r="M32" s="752"/>
      <c r="N32" s="751"/>
      <c r="O32" s="752"/>
      <c r="P32" s="751"/>
      <c r="Q32" s="752"/>
      <c r="R32" s="751"/>
      <c r="S32" s="752"/>
      <c r="T32" s="751"/>
      <c r="U32" s="752"/>
      <c r="V32" s="751"/>
      <c r="W32" s="752"/>
      <c r="X32" s="751"/>
      <c r="Y32" s="752"/>
      <c r="Z32" s="751"/>
      <c r="AA32" s="752"/>
      <c r="AB32" s="751"/>
      <c r="AC32" s="752"/>
      <c r="AD32" s="751"/>
      <c r="AE32" s="752"/>
      <c r="AF32" s="751"/>
      <c r="AG32" s="752"/>
      <c r="AH32" s="751"/>
      <c r="AI32" s="752"/>
      <c r="AJ32" s="751"/>
      <c r="AK32" s="752"/>
      <c r="AL32" s="751"/>
      <c r="AM32" s="753"/>
      <c r="AN32" s="757"/>
      <c r="AO32" s="717"/>
      <c r="AP32" s="710"/>
      <c r="AQ32" s="717"/>
      <c r="AR32" s="710"/>
    </row>
    <row r="33" spans="1:44">
      <c r="A33" s="1968" t="s">
        <v>382</v>
      </c>
      <c r="B33" s="1969"/>
      <c r="C33" s="761">
        <f t="shared" ref="C33:C37" si="6">SUM(D33:E33)</f>
        <v>0</v>
      </c>
      <c r="D33" s="740">
        <f t="shared" si="5"/>
        <v>0</v>
      </c>
      <c r="E33" s="741">
        <f t="shared" si="3"/>
        <v>0</v>
      </c>
      <c r="F33" s="751"/>
      <c r="G33" s="752"/>
      <c r="H33" s="751"/>
      <c r="I33" s="752"/>
      <c r="J33" s="751"/>
      <c r="K33" s="752"/>
      <c r="L33" s="751"/>
      <c r="M33" s="752"/>
      <c r="N33" s="751"/>
      <c r="O33" s="752"/>
      <c r="P33" s="751"/>
      <c r="Q33" s="752"/>
      <c r="R33" s="751"/>
      <c r="S33" s="752"/>
      <c r="T33" s="751"/>
      <c r="U33" s="752"/>
      <c r="V33" s="751"/>
      <c r="W33" s="752"/>
      <c r="X33" s="751"/>
      <c r="Y33" s="752"/>
      <c r="Z33" s="751"/>
      <c r="AA33" s="752"/>
      <c r="AB33" s="751"/>
      <c r="AC33" s="752"/>
      <c r="AD33" s="751"/>
      <c r="AE33" s="752"/>
      <c r="AF33" s="751"/>
      <c r="AG33" s="752"/>
      <c r="AH33" s="751"/>
      <c r="AI33" s="752"/>
      <c r="AJ33" s="751"/>
      <c r="AK33" s="752"/>
      <c r="AL33" s="751"/>
      <c r="AM33" s="753"/>
      <c r="AN33" s="754"/>
      <c r="AO33" s="755"/>
      <c r="AP33" s="752"/>
      <c r="AQ33" s="755"/>
      <c r="AR33" s="752"/>
    </row>
    <row r="34" spans="1:44">
      <c r="A34" s="1970" t="s">
        <v>383</v>
      </c>
      <c r="B34" s="1971"/>
      <c r="C34" s="1600">
        <f t="shared" si="6"/>
        <v>0</v>
      </c>
      <c r="D34" s="733">
        <f t="shared" si="5"/>
        <v>0</v>
      </c>
      <c r="E34" s="734">
        <f t="shared" si="3"/>
        <v>0</v>
      </c>
      <c r="F34" s="722"/>
      <c r="G34" s="723"/>
      <c r="H34" s="722"/>
      <c r="I34" s="723"/>
      <c r="J34" s="722"/>
      <c r="K34" s="723"/>
      <c r="L34" s="722"/>
      <c r="M34" s="723"/>
      <c r="N34" s="722"/>
      <c r="O34" s="723"/>
      <c r="P34" s="722"/>
      <c r="Q34" s="723"/>
      <c r="R34" s="722"/>
      <c r="S34" s="723"/>
      <c r="T34" s="722"/>
      <c r="U34" s="723"/>
      <c r="V34" s="722"/>
      <c r="W34" s="723"/>
      <c r="X34" s="722"/>
      <c r="Y34" s="723"/>
      <c r="Z34" s="722"/>
      <c r="AA34" s="723"/>
      <c r="AB34" s="722"/>
      <c r="AC34" s="723"/>
      <c r="AD34" s="722"/>
      <c r="AE34" s="723"/>
      <c r="AF34" s="722"/>
      <c r="AG34" s="723"/>
      <c r="AH34" s="722"/>
      <c r="AI34" s="723"/>
      <c r="AJ34" s="722"/>
      <c r="AK34" s="723"/>
      <c r="AL34" s="722"/>
      <c r="AM34" s="762"/>
      <c r="AN34" s="763"/>
      <c r="AO34" s="738"/>
      <c r="AP34" s="723"/>
      <c r="AQ34" s="738"/>
      <c r="AR34" s="723"/>
    </row>
    <row r="35" spans="1:44">
      <c r="A35" s="1972" t="s">
        <v>384</v>
      </c>
      <c r="B35" s="764" t="s">
        <v>385</v>
      </c>
      <c r="C35" s="1601">
        <f t="shared" si="6"/>
        <v>0</v>
      </c>
      <c r="D35" s="740">
        <f t="shared" si="5"/>
        <v>0</v>
      </c>
      <c r="E35" s="741">
        <f t="shared" si="3"/>
        <v>0</v>
      </c>
      <c r="F35" s="751"/>
      <c r="G35" s="752"/>
      <c r="H35" s="751"/>
      <c r="I35" s="752"/>
      <c r="J35" s="751"/>
      <c r="K35" s="752"/>
      <c r="L35" s="751"/>
      <c r="M35" s="752"/>
      <c r="N35" s="751"/>
      <c r="O35" s="752"/>
      <c r="P35" s="751"/>
      <c r="Q35" s="752"/>
      <c r="R35" s="751"/>
      <c r="S35" s="752"/>
      <c r="T35" s="751"/>
      <c r="U35" s="752"/>
      <c r="V35" s="751"/>
      <c r="W35" s="752"/>
      <c r="X35" s="751"/>
      <c r="Y35" s="752"/>
      <c r="Z35" s="751"/>
      <c r="AA35" s="752"/>
      <c r="AB35" s="751"/>
      <c r="AC35" s="752"/>
      <c r="AD35" s="751"/>
      <c r="AE35" s="752"/>
      <c r="AF35" s="751"/>
      <c r="AG35" s="752"/>
      <c r="AH35" s="751"/>
      <c r="AI35" s="752"/>
      <c r="AJ35" s="751"/>
      <c r="AK35" s="752"/>
      <c r="AL35" s="751"/>
      <c r="AM35" s="753"/>
      <c r="AN35" s="754"/>
      <c r="AO35" s="755"/>
      <c r="AP35" s="752"/>
      <c r="AQ35" s="755"/>
      <c r="AR35" s="752"/>
    </row>
    <row r="36" spans="1:44">
      <c r="A36" s="1972"/>
      <c r="B36" s="765" t="s">
        <v>386</v>
      </c>
      <c r="C36" s="761">
        <f t="shared" si="6"/>
        <v>0</v>
      </c>
      <c r="D36" s="707">
        <f t="shared" si="5"/>
        <v>0</v>
      </c>
      <c r="E36" s="708">
        <f t="shared" si="3"/>
        <v>0</v>
      </c>
      <c r="F36" s="751"/>
      <c r="G36" s="752"/>
      <c r="H36" s="751"/>
      <c r="I36" s="752"/>
      <c r="J36" s="751"/>
      <c r="K36" s="752"/>
      <c r="L36" s="751"/>
      <c r="M36" s="752"/>
      <c r="N36" s="751"/>
      <c r="O36" s="752"/>
      <c r="P36" s="751"/>
      <c r="Q36" s="752"/>
      <c r="R36" s="751"/>
      <c r="S36" s="752"/>
      <c r="T36" s="751"/>
      <c r="U36" s="752"/>
      <c r="V36" s="751"/>
      <c r="W36" s="752"/>
      <c r="X36" s="751"/>
      <c r="Y36" s="752"/>
      <c r="Z36" s="751"/>
      <c r="AA36" s="752"/>
      <c r="AB36" s="751"/>
      <c r="AC36" s="752"/>
      <c r="AD36" s="751"/>
      <c r="AE36" s="752"/>
      <c r="AF36" s="751"/>
      <c r="AG36" s="752"/>
      <c r="AH36" s="751"/>
      <c r="AI36" s="752"/>
      <c r="AJ36" s="751"/>
      <c r="AK36" s="752"/>
      <c r="AL36" s="751"/>
      <c r="AM36" s="753"/>
      <c r="AN36" s="757"/>
      <c r="AO36" s="717"/>
      <c r="AP36" s="710"/>
      <c r="AQ36" s="717"/>
      <c r="AR36" s="710"/>
    </row>
    <row r="37" spans="1:44" ht="15" thickBot="1">
      <c r="A37" s="1973"/>
      <c r="B37" s="766" t="s">
        <v>387</v>
      </c>
      <c r="C37" s="1602">
        <f t="shared" si="6"/>
        <v>0</v>
      </c>
      <c r="D37" s="767">
        <f>+F37+H37+J37+L37+N37+P37+R37+T37+V37+X37+Z37+AB37+AD37+AF37+AH37+AJ37+AL37</f>
        <v>0</v>
      </c>
      <c r="E37" s="768">
        <f>+G37+I37+K37+M37+O37+Q37+S37+U37+W37+Y37+AA37+AC37+AE37+AG37+AI37+AK37+AM37</f>
        <v>0</v>
      </c>
      <c r="F37" s="751"/>
      <c r="G37" s="752"/>
      <c r="H37" s="751"/>
      <c r="I37" s="752"/>
      <c r="J37" s="751"/>
      <c r="K37" s="752"/>
      <c r="L37" s="751"/>
      <c r="M37" s="752"/>
      <c r="N37" s="751"/>
      <c r="O37" s="752"/>
      <c r="P37" s="751"/>
      <c r="Q37" s="752"/>
      <c r="R37" s="751"/>
      <c r="S37" s="752"/>
      <c r="T37" s="751"/>
      <c r="U37" s="752"/>
      <c r="V37" s="751"/>
      <c r="W37" s="752"/>
      <c r="X37" s="751"/>
      <c r="Y37" s="752"/>
      <c r="Z37" s="751"/>
      <c r="AA37" s="752"/>
      <c r="AB37" s="751"/>
      <c r="AC37" s="752"/>
      <c r="AD37" s="751"/>
      <c r="AE37" s="752"/>
      <c r="AF37" s="751"/>
      <c r="AG37" s="752"/>
      <c r="AH37" s="751"/>
      <c r="AI37" s="752"/>
      <c r="AJ37" s="751"/>
      <c r="AK37" s="752"/>
      <c r="AL37" s="751"/>
      <c r="AM37" s="753"/>
      <c r="AN37" s="769"/>
      <c r="AO37" s="728"/>
      <c r="AP37" s="729"/>
      <c r="AQ37" s="728"/>
      <c r="AR37" s="729"/>
    </row>
    <row r="38" spans="1:44" ht="15" thickTop="1">
      <c r="A38" s="1974" t="s">
        <v>388</v>
      </c>
      <c r="B38" s="880" t="s">
        <v>389</v>
      </c>
      <c r="C38" s="761">
        <v>0</v>
      </c>
      <c r="D38" s="770">
        <f>+F38+H38+J38+L38+N38+P38+R38+T38+V38+X38+Z38+AB38+AD38+AF38+AH38+AJ38+AL38</f>
        <v>0</v>
      </c>
      <c r="E38" s="771">
        <f>+G38+I38+K38+M38+O38+Q38+S38+U38+W38+Y38+AA38+AC38+AE38+AG38+AI38+AK38+AM38</f>
        <v>0</v>
      </c>
      <c r="F38" s="772"/>
      <c r="G38" s="773"/>
      <c r="H38" s="772"/>
      <c r="I38" s="773"/>
      <c r="J38" s="772"/>
      <c r="K38" s="773"/>
      <c r="L38" s="772"/>
      <c r="M38" s="773"/>
      <c r="N38" s="772"/>
      <c r="O38" s="773"/>
      <c r="P38" s="772"/>
      <c r="Q38" s="773"/>
      <c r="R38" s="772"/>
      <c r="S38" s="773"/>
      <c r="T38" s="772"/>
      <c r="U38" s="773"/>
      <c r="V38" s="772"/>
      <c r="W38" s="773"/>
      <c r="X38" s="772"/>
      <c r="Y38" s="773"/>
      <c r="Z38" s="772"/>
      <c r="AA38" s="773"/>
      <c r="AB38" s="772"/>
      <c r="AC38" s="773"/>
      <c r="AD38" s="772"/>
      <c r="AE38" s="773"/>
      <c r="AF38" s="772"/>
      <c r="AG38" s="773"/>
      <c r="AH38" s="772"/>
      <c r="AI38" s="773"/>
      <c r="AJ38" s="772"/>
      <c r="AK38" s="773"/>
      <c r="AL38" s="772"/>
      <c r="AM38" s="774"/>
      <c r="AN38" s="775"/>
      <c r="AO38" s="776"/>
      <c r="AP38" s="773"/>
      <c r="AQ38" s="776"/>
      <c r="AR38" s="773"/>
    </row>
    <row r="39" spans="1:44">
      <c r="A39" s="1891"/>
      <c r="B39" s="881" t="s">
        <v>385</v>
      </c>
      <c r="C39" s="761">
        <f t="shared" ref="C39:C44" si="7">SUM(D39:E39)</f>
        <v>0</v>
      </c>
      <c r="D39" s="707">
        <f t="shared" si="5"/>
        <v>0</v>
      </c>
      <c r="E39" s="708">
        <f t="shared" si="3"/>
        <v>0</v>
      </c>
      <c r="F39" s="709"/>
      <c r="G39" s="710"/>
      <c r="H39" s="709"/>
      <c r="I39" s="710"/>
      <c r="J39" s="709"/>
      <c r="K39" s="710"/>
      <c r="L39" s="709"/>
      <c r="M39" s="710"/>
      <c r="N39" s="709"/>
      <c r="O39" s="710"/>
      <c r="P39" s="709"/>
      <c r="Q39" s="710"/>
      <c r="R39" s="709"/>
      <c r="S39" s="710"/>
      <c r="T39" s="709"/>
      <c r="U39" s="710"/>
      <c r="V39" s="709"/>
      <c r="W39" s="710"/>
      <c r="X39" s="709"/>
      <c r="Y39" s="710"/>
      <c r="Z39" s="709"/>
      <c r="AA39" s="710"/>
      <c r="AB39" s="709"/>
      <c r="AC39" s="710"/>
      <c r="AD39" s="709"/>
      <c r="AE39" s="710"/>
      <c r="AF39" s="709"/>
      <c r="AG39" s="710"/>
      <c r="AH39" s="709"/>
      <c r="AI39" s="710"/>
      <c r="AJ39" s="709"/>
      <c r="AK39" s="710"/>
      <c r="AL39" s="709"/>
      <c r="AM39" s="731"/>
      <c r="AN39" s="757"/>
      <c r="AO39" s="717"/>
      <c r="AP39" s="710"/>
      <c r="AQ39" s="717"/>
      <c r="AR39" s="710"/>
    </row>
    <row r="40" spans="1:44">
      <c r="A40" s="1891"/>
      <c r="B40" s="882" t="s">
        <v>386</v>
      </c>
      <c r="C40" s="761">
        <f t="shared" si="7"/>
        <v>0</v>
      </c>
      <c r="D40" s="707">
        <f t="shared" si="5"/>
        <v>0</v>
      </c>
      <c r="E40" s="708">
        <f t="shared" si="3"/>
        <v>0</v>
      </c>
      <c r="F40" s="709"/>
      <c r="G40" s="710"/>
      <c r="H40" s="709"/>
      <c r="I40" s="710"/>
      <c r="J40" s="709"/>
      <c r="K40" s="710"/>
      <c r="L40" s="709"/>
      <c r="M40" s="710"/>
      <c r="N40" s="709"/>
      <c r="O40" s="710"/>
      <c r="P40" s="709"/>
      <c r="Q40" s="710"/>
      <c r="R40" s="709"/>
      <c r="S40" s="710"/>
      <c r="T40" s="709"/>
      <c r="U40" s="710"/>
      <c r="V40" s="709"/>
      <c r="W40" s="710"/>
      <c r="X40" s="709"/>
      <c r="Y40" s="710"/>
      <c r="Z40" s="709"/>
      <c r="AA40" s="710"/>
      <c r="AB40" s="709"/>
      <c r="AC40" s="710"/>
      <c r="AD40" s="709"/>
      <c r="AE40" s="710"/>
      <c r="AF40" s="709"/>
      <c r="AG40" s="710"/>
      <c r="AH40" s="709"/>
      <c r="AI40" s="710"/>
      <c r="AJ40" s="709"/>
      <c r="AK40" s="710"/>
      <c r="AL40" s="709"/>
      <c r="AM40" s="731"/>
      <c r="AN40" s="757"/>
      <c r="AO40" s="717"/>
      <c r="AP40" s="710"/>
      <c r="AQ40" s="717"/>
      <c r="AR40" s="710"/>
    </row>
    <row r="41" spans="1:44">
      <c r="A41" s="1891"/>
      <c r="B41" s="882" t="s">
        <v>390</v>
      </c>
      <c r="C41" s="761">
        <f t="shared" si="7"/>
        <v>0</v>
      </c>
      <c r="D41" s="707">
        <f t="shared" si="5"/>
        <v>0</v>
      </c>
      <c r="E41" s="708">
        <f t="shared" si="3"/>
        <v>0</v>
      </c>
      <c r="F41" s="709"/>
      <c r="G41" s="710"/>
      <c r="H41" s="709"/>
      <c r="I41" s="710"/>
      <c r="J41" s="709"/>
      <c r="K41" s="710"/>
      <c r="L41" s="709"/>
      <c r="M41" s="710"/>
      <c r="N41" s="709"/>
      <c r="O41" s="710"/>
      <c r="P41" s="709"/>
      <c r="Q41" s="710"/>
      <c r="R41" s="709"/>
      <c r="S41" s="710"/>
      <c r="T41" s="709"/>
      <c r="U41" s="710"/>
      <c r="V41" s="709"/>
      <c r="W41" s="710"/>
      <c r="X41" s="709"/>
      <c r="Y41" s="710"/>
      <c r="Z41" s="709"/>
      <c r="AA41" s="710"/>
      <c r="AB41" s="709"/>
      <c r="AC41" s="710"/>
      <c r="AD41" s="709"/>
      <c r="AE41" s="710"/>
      <c r="AF41" s="709"/>
      <c r="AG41" s="710"/>
      <c r="AH41" s="709"/>
      <c r="AI41" s="710"/>
      <c r="AJ41" s="709"/>
      <c r="AK41" s="710"/>
      <c r="AL41" s="709"/>
      <c r="AM41" s="731"/>
      <c r="AN41" s="757"/>
      <c r="AO41" s="717"/>
      <c r="AP41" s="710"/>
      <c r="AQ41" s="717"/>
      <c r="AR41" s="710"/>
    </row>
    <row r="42" spans="1:44">
      <c r="A42" s="1891"/>
      <c r="B42" s="882" t="s">
        <v>391</v>
      </c>
      <c r="C42" s="761">
        <f t="shared" si="7"/>
        <v>0</v>
      </c>
      <c r="D42" s="707">
        <f t="shared" si="5"/>
        <v>0</v>
      </c>
      <c r="E42" s="708">
        <f t="shared" si="3"/>
        <v>0</v>
      </c>
      <c r="F42" s="709"/>
      <c r="G42" s="710"/>
      <c r="H42" s="709"/>
      <c r="I42" s="710"/>
      <c r="J42" s="709"/>
      <c r="K42" s="710"/>
      <c r="L42" s="709"/>
      <c r="M42" s="710"/>
      <c r="N42" s="709"/>
      <c r="O42" s="710"/>
      <c r="P42" s="709"/>
      <c r="Q42" s="710"/>
      <c r="R42" s="709"/>
      <c r="S42" s="710"/>
      <c r="T42" s="709"/>
      <c r="U42" s="710"/>
      <c r="V42" s="709"/>
      <c r="W42" s="710"/>
      <c r="X42" s="709"/>
      <c r="Y42" s="710"/>
      <c r="Z42" s="709"/>
      <c r="AA42" s="710"/>
      <c r="AB42" s="709"/>
      <c r="AC42" s="710"/>
      <c r="AD42" s="709"/>
      <c r="AE42" s="710"/>
      <c r="AF42" s="709"/>
      <c r="AG42" s="710"/>
      <c r="AH42" s="709"/>
      <c r="AI42" s="710"/>
      <c r="AJ42" s="709"/>
      <c r="AK42" s="710"/>
      <c r="AL42" s="709"/>
      <c r="AM42" s="731"/>
      <c r="AN42" s="757"/>
      <c r="AO42" s="717"/>
      <c r="AP42" s="710"/>
      <c r="AQ42" s="717"/>
      <c r="AR42" s="710"/>
    </row>
    <row r="43" spans="1:44">
      <c r="A43" s="1891"/>
      <c r="B43" s="882" t="s">
        <v>387</v>
      </c>
      <c r="C43" s="761">
        <f t="shared" si="7"/>
        <v>0</v>
      </c>
      <c r="D43" s="707">
        <f t="shared" si="5"/>
        <v>0</v>
      </c>
      <c r="E43" s="708">
        <f t="shared" si="3"/>
        <v>0</v>
      </c>
      <c r="F43" s="709"/>
      <c r="G43" s="710"/>
      <c r="H43" s="709"/>
      <c r="I43" s="710"/>
      <c r="J43" s="709"/>
      <c r="K43" s="710"/>
      <c r="L43" s="709"/>
      <c r="M43" s="710"/>
      <c r="N43" s="709"/>
      <c r="O43" s="710"/>
      <c r="P43" s="709"/>
      <c r="Q43" s="710"/>
      <c r="R43" s="709"/>
      <c r="S43" s="710"/>
      <c r="T43" s="709"/>
      <c r="U43" s="710"/>
      <c r="V43" s="709"/>
      <c r="W43" s="710"/>
      <c r="X43" s="709"/>
      <c r="Y43" s="710"/>
      <c r="Z43" s="709"/>
      <c r="AA43" s="710"/>
      <c r="AB43" s="709"/>
      <c r="AC43" s="710"/>
      <c r="AD43" s="709"/>
      <c r="AE43" s="710"/>
      <c r="AF43" s="709"/>
      <c r="AG43" s="710"/>
      <c r="AH43" s="709"/>
      <c r="AI43" s="710"/>
      <c r="AJ43" s="709"/>
      <c r="AK43" s="710"/>
      <c r="AL43" s="709"/>
      <c r="AM43" s="731"/>
      <c r="AN43" s="757"/>
      <c r="AO43" s="717"/>
      <c r="AP43" s="710"/>
      <c r="AQ43" s="717"/>
      <c r="AR43" s="710"/>
    </row>
    <row r="44" spans="1:44">
      <c r="A44" s="1769"/>
      <c r="B44" s="883" t="s">
        <v>392</v>
      </c>
      <c r="C44" s="761">
        <f t="shared" si="7"/>
        <v>0</v>
      </c>
      <c r="D44" s="777">
        <f>+F44+H44+J44+L44+N44+P44+R44+T44+V44+X44+Z44+AB44+AD44+AF44+AH44+AJ44+AL44</f>
        <v>0</v>
      </c>
      <c r="E44" s="778">
        <f>+G44+I44+K44+M44+O44+Q44+S44+U44+W44+Y44+AA44+AC44+AE44+AG44+AI44+AK44+AM44</f>
        <v>0</v>
      </c>
      <c r="F44" s="748"/>
      <c r="G44" s="749"/>
      <c r="H44" s="748"/>
      <c r="I44" s="749"/>
      <c r="J44" s="748"/>
      <c r="K44" s="749"/>
      <c r="L44" s="748"/>
      <c r="M44" s="749"/>
      <c r="N44" s="748"/>
      <c r="O44" s="749"/>
      <c r="P44" s="748"/>
      <c r="Q44" s="749"/>
      <c r="R44" s="748"/>
      <c r="S44" s="749"/>
      <c r="T44" s="748"/>
      <c r="U44" s="749"/>
      <c r="V44" s="748"/>
      <c r="W44" s="749"/>
      <c r="X44" s="748"/>
      <c r="Y44" s="749"/>
      <c r="Z44" s="748"/>
      <c r="AA44" s="749"/>
      <c r="AB44" s="748"/>
      <c r="AC44" s="749"/>
      <c r="AD44" s="748"/>
      <c r="AE44" s="749"/>
      <c r="AF44" s="748"/>
      <c r="AG44" s="749"/>
      <c r="AH44" s="748"/>
      <c r="AI44" s="749"/>
      <c r="AJ44" s="748"/>
      <c r="AK44" s="749"/>
      <c r="AL44" s="748"/>
      <c r="AM44" s="750"/>
      <c r="AN44" s="779"/>
      <c r="AO44" s="780"/>
      <c r="AP44" s="749"/>
      <c r="AQ44" s="780"/>
      <c r="AR44" s="749"/>
    </row>
    <row r="45" spans="1:44">
      <c r="A45" s="1955" t="s">
        <v>393</v>
      </c>
      <c r="B45" s="884" t="s">
        <v>394</v>
      </c>
      <c r="C45" s="781">
        <f t="shared" ref="C45:C47" si="8">SUM(D45:E45)</f>
        <v>0</v>
      </c>
      <c r="D45" s="697">
        <f t="shared" ref="D45:E46" si="9">+F45+H45+J45+L45+N45+P45+R45+T45+V45+X45+Z45+AB45+AD45+AF45+AH45+AJ45+AL45</f>
        <v>0</v>
      </c>
      <c r="E45" s="782">
        <f t="shared" si="9"/>
        <v>0</v>
      </c>
      <c r="F45" s="699"/>
      <c r="G45" s="783"/>
      <c r="H45" s="699"/>
      <c r="I45" s="783"/>
      <c r="J45" s="699"/>
      <c r="K45" s="783"/>
      <c r="L45" s="699"/>
      <c r="M45" s="783"/>
      <c r="N45" s="699"/>
      <c r="O45" s="783"/>
      <c r="P45" s="699"/>
      <c r="Q45" s="783"/>
      <c r="R45" s="699"/>
      <c r="S45" s="783"/>
      <c r="T45" s="699"/>
      <c r="U45" s="783"/>
      <c r="V45" s="699"/>
      <c r="W45" s="783"/>
      <c r="X45" s="699"/>
      <c r="Y45" s="783"/>
      <c r="Z45" s="699"/>
      <c r="AA45" s="783"/>
      <c r="AB45" s="699"/>
      <c r="AC45" s="783"/>
      <c r="AD45" s="699"/>
      <c r="AE45" s="783"/>
      <c r="AF45" s="784"/>
      <c r="AG45" s="783"/>
      <c r="AH45" s="784"/>
      <c r="AI45" s="783"/>
      <c r="AJ45" s="784"/>
      <c r="AK45" s="783"/>
      <c r="AL45" s="784"/>
      <c r="AM45" s="785"/>
      <c r="AN45" s="786"/>
      <c r="AO45" s="784"/>
      <c r="AP45" s="785"/>
      <c r="AQ45" s="705"/>
      <c r="AR45" s="783"/>
    </row>
    <row r="46" spans="1:44">
      <c r="A46" s="1956"/>
      <c r="B46" s="885" t="s">
        <v>395</v>
      </c>
      <c r="C46" s="760">
        <f t="shared" si="8"/>
        <v>0</v>
      </c>
      <c r="D46" s="707">
        <f t="shared" si="9"/>
        <v>0</v>
      </c>
      <c r="E46" s="787">
        <f t="shared" si="9"/>
        <v>0</v>
      </c>
      <c r="F46" s="751"/>
      <c r="G46" s="788"/>
      <c r="H46" s="751"/>
      <c r="I46" s="788"/>
      <c r="J46" s="751"/>
      <c r="K46" s="788"/>
      <c r="L46" s="751"/>
      <c r="M46" s="788"/>
      <c r="N46" s="751"/>
      <c r="O46" s="788"/>
      <c r="P46" s="751"/>
      <c r="Q46" s="788"/>
      <c r="R46" s="751"/>
      <c r="S46" s="788"/>
      <c r="T46" s="751"/>
      <c r="U46" s="788"/>
      <c r="V46" s="751"/>
      <c r="W46" s="788"/>
      <c r="X46" s="751"/>
      <c r="Y46" s="788"/>
      <c r="Z46" s="751"/>
      <c r="AA46" s="788"/>
      <c r="AB46" s="751"/>
      <c r="AC46" s="788"/>
      <c r="AD46" s="751"/>
      <c r="AE46" s="788"/>
      <c r="AF46" s="789"/>
      <c r="AG46" s="788"/>
      <c r="AH46" s="789"/>
      <c r="AI46" s="788"/>
      <c r="AJ46" s="789"/>
      <c r="AK46" s="788"/>
      <c r="AL46" s="789"/>
      <c r="AM46" s="790"/>
      <c r="AN46" s="791"/>
      <c r="AO46" s="789"/>
      <c r="AP46" s="790"/>
      <c r="AQ46" s="755"/>
      <c r="AR46" s="788"/>
    </row>
    <row r="47" spans="1:44">
      <c r="A47" s="1957"/>
      <c r="B47" s="886" t="s">
        <v>396</v>
      </c>
      <c r="C47" s="792">
        <f t="shared" si="8"/>
        <v>0</v>
      </c>
      <c r="D47" s="777">
        <f>+F47+H47+J47+L47+N47+P47+R47+T47+V47+X47+Z47+AB47+AD47+AF47+AH47+AJ47+AL47</f>
        <v>0</v>
      </c>
      <c r="E47" s="793">
        <f>+G47+I47+K47+M47+O47+Q47+S47+U47+W47+Y47+AA47+AC47+AE47+AG47+AI47+AK47+AM47</f>
        <v>0</v>
      </c>
      <c r="F47" s="748"/>
      <c r="G47" s="794"/>
      <c r="H47" s="748"/>
      <c r="I47" s="794"/>
      <c r="J47" s="748"/>
      <c r="K47" s="794"/>
      <c r="L47" s="748"/>
      <c r="M47" s="794"/>
      <c r="N47" s="748"/>
      <c r="O47" s="794"/>
      <c r="P47" s="748"/>
      <c r="Q47" s="794"/>
      <c r="R47" s="748"/>
      <c r="S47" s="794"/>
      <c r="T47" s="748"/>
      <c r="U47" s="794"/>
      <c r="V47" s="748"/>
      <c r="W47" s="794"/>
      <c r="X47" s="748"/>
      <c r="Y47" s="794"/>
      <c r="Z47" s="748"/>
      <c r="AA47" s="794"/>
      <c r="AB47" s="748"/>
      <c r="AC47" s="794"/>
      <c r="AD47" s="748"/>
      <c r="AE47" s="794"/>
      <c r="AF47" s="795"/>
      <c r="AG47" s="794"/>
      <c r="AH47" s="795"/>
      <c r="AI47" s="794"/>
      <c r="AJ47" s="795"/>
      <c r="AK47" s="794"/>
      <c r="AL47" s="795"/>
      <c r="AM47" s="796"/>
      <c r="AN47" s="797"/>
      <c r="AO47" s="795"/>
      <c r="AP47" s="796"/>
      <c r="AQ47" s="780"/>
      <c r="AR47" s="794"/>
    </row>
    <row r="48" spans="1:44">
      <c r="A48" s="798" t="s">
        <v>397</v>
      </c>
      <c r="B48" s="799"/>
      <c r="C48" s="798"/>
      <c r="D48" s="800"/>
      <c r="E48" s="800"/>
      <c r="F48" s="800"/>
      <c r="G48" s="800"/>
      <c r="H48" s="800"/>
      <c r="I48" s="800"/>
      <c r="J48" s="800"/>
      <c r="K48" s="800"/>
      <c r="L48" s="800"/>
      <c r="M48" s="800"/>
      <c r="N48" s="800"/>
      <c r="O48" s="800"/>
      <c r="P48" s="800"/>
      <c r="Q48" s="800"/>
      <c r="R48" s="800"/>
      <c r="S48" s="800"/>
      <c r="T48" s="800"/>
      <c r="U48" s="800"/>
      <c r="V48" s="800"/>
      <c r="W48" s="800"/>
      <c r="X48" s="800"/>
      <c r="Y48" s="800"/>
      <c r="Z48" s="3"/>
      <c r="AA48" s="5"/>
      <c r="AB48" s="5"/>
      <c r="AC48" s="5"/>
      <c r="AD48" s="5"/>
      <c r="AE48" s="5"/>
      <c r="AF48" s="5"/>
      <c r="AG48" s="5"/>
      <c r="AH48" s="5"/>
      <c r="AI48" s="5"/>
      <c r="AJ48" s="5"/>
      <c r="AK48" s="5"/>
      <c r="AL48" s="5"/>
      <c r="AM48" s="5"/>
      <c r="AN48" s="5"/>
      <c r="AO48" s="3"/>
      <c r="AP48" s="5"/>
      <c r="AQ48" s="5"/>
      <c r="AR48" s="5"/>
    </row>
    <row r="49" spans="1:44">
      <c r="A49" s="1958" t="s">
        <v>398</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8"/>
      <c r="AJ49" s="1958"/>
      <c r="AK49" s="1958"/>
      <c r="AL49" s="1958"/>
      <c r="AM49" s="1958"/>
      <c r="AN49" s="1958"/>
      <c r="AO49" s="1958"/>
      <c r="AP49" s="1958"/>
      <c r="AQ49" s="5"/>
      <c r="AR49" s="5"/>
    </row>
    <row r="50" spans="1:44">
      <c r="A50" s="1959" t="s">
        <v>399</v>
      </c>
      <c r="B50" s="1737" t="s">
        <v>45</v>
      </c>
      <c r="C50" s="1961" t="s">
        <v>42</v>
      </c>
      <c r="D50" s="1963" t="s">
        <v>179</v>
      </c>
      <c r="E50" s="1965" t="s">
        <v>400</v>
      </c>
      <c r="F50" s="1965"/>
      <c r="G50" s="1965"/>
      <c r="H50" s="1965"/>
      <c r="I50" s="1965"/>
      <c r="J50" s="1965"/>
      <c r="K50" s="1965"/>
      <c r="L50" s="1965"/>
      <c r="M50" s="1965"/>
      <c r="N50" s="1722"/>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80">
      <c r="A51" s="1960"/>
      <c r="B51" s="1738"/>
      <c r="C51" s="1962"/>
      <c r="D51" s="1964"/>
      <c r="E51" s="801" t="s">
        <v>401</v>
      </c>
      <c r="F51" s="802" t="s">
        <v>402</v>
      </c>
      <c r="G51" s="803" t="s">
        <v>403</v>
      </c>
      <c r="H51" s="803" t="s">
        <v>404</v>
      </c>
      <c r="I51" s="803" t="s">
        <v>405</v>
      </c>
      <c r="J51" s="803" t="s">
        <v>406</v>
      </c>
      <c r="K51" s="803" t="s">
        <v>407</v>
      </c>
      <c r="L51" s="803" t="s">
        <v>408</v>
      </c>
      <c r="M51" s="803" t="s">
        <v>409</v>
      </c>
      <c r="N51" s="887" t="s">
        <v>410</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c r="A52" s="804" t="s">
        <v>411</v>
      </c>
      <c r="B52" s="805">
        <f>SUM(C52:D52)</f>
        <v>0</v>
      </c>
      <c r="C52" s="806"/>
      <c r="D52" s="807"/>
      <c r="E52" s="808"/>
      <c r="F52" s="809"/>
      <c r="G52" s="809"/>
      <c r="H52" s="809"/>
      <c r="I52" s="809"/>
      <c r="J52" s="809"/>
      <c r="K52" s="809"/>
      <c r="L52" s="809"/>
      <c r="M52" s="809"/>
      <c r="N52" s="810"/>
      <c r="O52" s="5" t="str">
        <f>CA52&amp;CB52&amp;CC52&amp;CD52&amp;CE52&amp;CF52&amp;CG52&amp;CH52&amp;CI52&amp;CJ52</f>
        <v/>
      </c>
      <c r="P52" s="5"/>
      <c r="Q52" s="5"/>
      <c r="R52" s="5"/>
      <c r="S52" s="5"/>
      <c r="T52" s="5"/>
      <c r="U52" s="5"/>
      <c r="V52" s="5"/>
      <c r="W52" s="5"/>
      <c r="X52" s="5"/>
      <c r="Y52" s="5"/>
      <c r="Z52" s="5"/>
      <c r="AA52" s="5"/>
      <c r="AB52" s="5"/>
      <c r="AC52" s="5"/>
      <c r="AD52" s="5"/>
      <c r="AE52" s="5"/>
      <c r="AF52" s="5"/>
      <c r="AG52" s="5"/>
      <c r="AH52" s="5"/>
      <c r="AI52" s="5"/>
      <c r="AJ52" s="5"/>
      <c r="AK52" s="5"/>
      <c r="AL52" s="5"/>
      <c r="AM52" s="5"/>
      <c r="AN52" s="7"/>
      <c r="AO52" s="5"/>
      <c r="AP52" s="5"/>
      <c r="AQ52" s="5"/>
      <c r="AR52" s="5"/>
    </row>
    <row r="53" spans="1:44">
      <c r="A53" s="1944" t="s">
        <v>412</v>
      </c>
      <c r="B53" s="1944"/>
      <c r="C53" s="1944"/>
      <c r="D53" s="1944"/>
      <c r="E53" s="1944"/>
      <c r="F53" s="1944"/>
      <c r="G53" s="1944"/>
      <c r="H53" s="1944"/>
      <c r="I53" s="1944"/>
      <c r="J53" s="1944"/>
      <c r="K53" s="1944"/>
      <c r="L53" s="1944"/>
      <c r="M53" s="1944"/>
      <c r="N53" s="1944"/>
      <c r="O53" s="1944"/>
      <c r="P53" s="1944"/>
      <c r="Q53" s="1944"/>
      <c r="R53" s="1944"/>
      <c r="S53" s="1944"/>
      <c r="T53" s="1944"/>
      <c r="U53" s="1944"/>
      <c r="V53" s="1944"/>
      <c r="W53" s="1944"/>
      <c r="X53" s="1944"/>
      <c r="Y53" s="1944"/>
      <c r="Z53" s="1944"/>
      <c r="AA53" s="1944"/>
      <c r="AB53" s="1944"/>
      <c r="AC53" s="1944"/>
      <c r="AD53" s="1944"/>
      <c r="AE53" s="1944"/>
      <c r="AF53" s="1944"/>
      <c r="AG53" s="1944"/>
      <c r="AH53" s="1944"/>
      <c r="AI53" s="1944"/>
      <c r="AJ53" s="1944"/>
      <c r="AK53" s="1944"/>
      <c r="AL53" s="1944"/>
      <c r="AM53" s="1944"/>
      <c r="AN53" s="5"/>
      <c r="AO53" s="3"/>
      <c r="AP53" s="5"/>
      <c r="AQ53" s="5"/>
      <c r="AR53" s="5"/>
    </row>
    <row r="54" spans="1:44">
      <c r="A54" s="1945" t="s">
        <v>413</v>
      </c>
      <c r="B54" s="1946"/>
      <c r="C54" s="1951" t="s">
        <v>5</v>
      </c>
      <c r="D54" s="1951"/>
      <c r="E54" s="1951"/>
      <c r="F54" s="1952" t="s">
        <v>354</v>
      </c>
      <c r="G54" s="1953"/>
      <c r="H54" s="1953"/>
      <c r="I54" s="1953"/>
      <c r="J54" s="1953"/>
      <c r="K54" s="1953"/>
      <c r="L54" s="1953"/>
      <c r="M54" s="1953"/>
      <c r="N54" s="1953"/>
      <c r="O54" s="1953"/>
      <c r="P54" s="1953"/>
      <c r="Q54" s="1953"/>
      <c r="R54" s="1953"/>
      <c r="S54" s="1953"/>
      <c r="T54" s="1953"/>
      <c r="U54" s="1953"/>
      <c r="V54" s="1953"/>
      <c r="W54" s="1953"/>
      <c r="X54" s="1953"/>
      <c r="Y54" s="1953"/>
      <c r="Z54" s="1953"/>
      <c r="AA54" s="1953"/>
      <c r="AB54" s="1953"/>
      <c r="AC54" s="1953"/>
      <c r="AD54" s="1953"/>
      <c r="AE54" s="1953"/>
      <c r="AF54" s="1953"/>
      <c r="AG54" s="1953"/>
      <c r="AH54" s="1953"/>
      <c r="AI54" s="1953"/>
      <c r="AJ54" s="1953"/>
      <c r="AK54" s="1953"/>
      <c r="AL54" s="1953"/>
      <c r="AM54" s="1953"/>
      <c r="AN54" s="1954" t="s">
        <v>7</v>
      </c>
      <c r="AO54" s="1909"/>
      <c r="AP54" s="1908" t="s">
        <v>58</v>
      </c>
      <c r="AQ54" s="1909"/>
      <c r="AR54" s="5"/>
    </row>
    <row r="55" spans="1:44">
      <c r="A55" s="1947"/>
      <c r="B55" s="1948"/>
      <c r="C55" s="1951"/>
      <c r="D55" s="1951"/>
      <c r="E55" s="1951"/>
      <c r="F55" s="1925" t="s">
        <v>356</v>
      </c>
      <c r="G55" s="1926"/>
      <c r="H55" s="1925" t="s">
        <v>357</v>
      </c>
      <c r="I55" s="1926"/>
      <c r="J55" s="1925" t="s">
        <v>264</v>
      </c>
      <c r="K55" s="1926"/>
      <c r="L55" s="1927" t="s">
        <v>13</v>
      </c>
      <c r="M55" s="1927"/>
      <c r="N55" s="1927" t="s">
        <v>14</v>
      </c>
      <c r="O55" s="1927"/>
      <c r="P55" s="1927" t="s">
        <v>15</v>
      </c>
      <c r="Q55" s="1927"/>
      <c r="R55" s="1928" t="s">
        <v>16</v>
      </c>
      <c r="S55" s="1929"/>
      <c r="T55" s="1927" t="s">
        <v>17</v>
      </c>
      <c r="U55" s="1927"/>
      <c r="V55" s="1928" t="s">
        <v>18</v>
      </c>
      <c r="W55" s="1929"/>
      <c r="X55" s="1927" t="s">
        <v>19</v>
      </c>
      <c r="Y55" s="1927"/>
      <c r="Z55" s="1928" t="s">
        <v>20</v>
      </c>
      <c r="AA55" s="1929"/>
      <c r="AB55" s="1927" t="s">
        <v>21</v>
      </c>
      <c r="AC55" s="1927"/>
      <c r="AD55" s="1928" t="s">
        <v>22</v>
      </c>
      <c r="AE55" s="1929"/>
      <c r="AF55" s="1941" t="s">
        <v>23</v>
      </c>
      <c r="AG55" s="1942"/>
      <c r="AH55" s="1941" t="s">
        <v>358</v>
      </c>
      <c r="AI55" s="1942"/>
      <c r="AJ55" s="1941" t="s">
        <v>359</v>
      </c>
      <c r="AK55" s="1942"/>
      <c r="AL55" s="1941" t="s">
        <v>360</v>
      </c>
      <c r="AM55" s="1943"/>
      <c r="AN55" s="1910"/>
      <c r="AO55" s="1911"/>
      <c r="AP55" s="1910"/>
      <c r="AQ55" s="1911"/>
      <c r="AR55" s="5"/>
    </row>
    <row r="56" spans="1:44" ht="20">
      <c r="A56" s="1949"/>
      <c r="B56" s="1950"/>
      <c r="C56" s="811" t="s">
        <v>361</v>
      </c>
      <c r="D56" s="812" t="s">
        <v>42</v>
      </c>
      <c r="E56" s="813" t="s">
        <v>179</v>
      </c>
      <c r="F56" s="814" t="s">
        <v>42</v>
      </c>
      <c r="G56" s="813" t="s">
        <v>179</v>
      </c>
      <c r="H56" s="814" t="s">
        <v>42</v>
      </c>
      <c r="I56" s="813" t="s">
        <v>179</v>
      </c>
      <c r="J56" s="814" t="s">
        <v>42</v>
      </c>
      <c r="K56" s="813" t="s">
        <v>179</v>
      </c>
      <c r="L56" s="815" t="s">
        <v>42</v>
      </c>
      <c r="M56" s="816" t="s">
        <v>179</v>
      </c>
      <c r="N56" s="815" t="s">
        <v>42</v>
      </c>
      <c r="O56" s="816" t="s">
        <v>179</v>
      </c>
      <c r="P56" s="815" t="s">
        <v>42</v>
      </c>
      <c r="Q56" s="816" t="s">
        <v>179</v>
      </c>
      <c r="R56" s="688" t="s">
        <v>42</v>
      </c>
      <c r="S56" s="689" t="s">
        <v>179</v>
      </c>
      <c r="T56" s="815" t="s">
        <v>42</v>
      </c>
      <c r="U56" s="816" t="s">
        <v>179</v>
      </c>
      <c r="V56" s="688" t="s">
        <v>42</v>
      </c>
      <c r="W56" s="689" t="s">
        <v>179</v>
      </c>
      <c r="X56" s="815" t="s">
        <v>42</v>
      </c>
      <c r="Y56" s="816" t="s">
        <v>179</v>
      </c>
      <c r="Z56" s="688" t="s">
        <v>42</v>
      </c>
      <c r="AA56" s="689" t="s">
        <v>179</v>
      </c>
      <c r="AB56" s="815" t="s">
        <v>42</v>
      </c>
      <c r="AC56" s="816" t="s">
        <v>179</v>
      </c>
      <c r="AD56" s="688" t="s">
        <v>42</v>
      </c>
      <c r="AE56" s="689" t="s">
        <v>179</v>
      </c>
      <c r="AF56" s="690" t="s">
        <v>362</v>
      </c>
      <c r="AG56" s="691" t="s">
        <v>179</v>
      </c>
      <c r="AH56" s="690" t="s">
        <v>362</v>
      </c>
      <c r="AI56" s="691" t="s">
        <v>179</v>
      </c>
      <c r="AJ56" s="690" t="s">
        <v>362</v>
      </c>
      <c r="AK56" s="691" t="s">
        <v>179</v>
      </c>
      <c r="AL56" s="690" t="s">
        <v>362</v>
      </c>
      <c r="AM56" s="694" t="s">
        <v>179</v>
      </c>
      <c r="AN56" s="888" t="s">
        <v>362</v>
      </c>
      <c r="AO56" s="889" t="s">
        <v>179</v>
      </c>
      <c r="AP56" s="888" t="s">
        <v>362</v>
      </c>
      <c r="AQ56" s="889" t="s">
        <v>179</v>
      </c>
      <c r="AR56" s="5"/>
    </row>
    <row r="57" spans="1:44">
      <c r="A57" s="1930" t="s">
        <v>414</v>
      </c>
      <c r="B57" s="817" t="s">
        <v>415</v>
      </c>
      <c r="C57" s="781">
        <f>SUM(D57:E57)</f>
        <v>0</v>
      </c>
      <c r="D57" s="697">
        <f>+F57+H57+J57+L57+N57+P57+R57+T57+V57+X57+Z57+AB57+AD57+AF57+AH57+AJ57+AL57</f>
        <v>0</v>
      </c>
      <c r="E57" s="698">
        <f>+G57+I57+K57+M57+O57+Q57+S57+U57+W57+Y57+AA57+AC57+AE57+AG57+AI57+AK57+AM57</f>
        <v>0</v>
      </c>
      <c r="F57" s="818"/>
      <c r="G57" s="819"/>
      <c r="H57" s="820"/>
      <c r="I57" s="819"/>
      <c r="J57" s="820"/>
      <c r="K57" s="819"/>
      <c r="L57" s="820"/>
      <c r="M57" s="819"/>
      <c r="N57" s="820"/>
      <c r="O57" s="819"/>
      <c r="P57" s="820"/>
      <c r="Q57" s="819"/>
      <c r="R57" s="820"/>
      <c r="S57" s="819"/>
      <c r="T57" s="820"/>
      <c r="U57" s="819"/>
      <c r="V57" s="820"/>
      <c r="W57" s="819"/>
      <c r="X57" s="820"/>
      <c r="Y57" s="819"/>
      <c r="Z57" s="820"/>
      <c r="AA57" s="819"/>
      <c r="AB57" s="820"/>
      <c r="AC57" s="819"/>
      <c r="AD57" s="820"/>
      <c r="AE57" s="819"/>
      <c r="AF57" s="820"/>
      <c r="AG57" s="819"/>
      <c r="AH57" s="820"/>
      <c r="AI57" s="819"/>
      <c r="AJ57" s="820"/>
      <c r="AK57" s="819"/>
      <c r="AL57" s="818"/>
      <c r="AM57" s="821"/>
      <c r="AN57" s="820"/>
      <c r="AO57" s="819"/>
      <c r="AP57" s="820"/>
      <c r="AQ57" s="819"/>
      <c r="AR57" s="5" t="str">
        <f>$CA57&amp;CB57&amp;CC57&amp;CD57</f>
        <v/>
      </c>
    </row>
    <row r="58" spans="1:44">
      <c r="A58" s="1931"/>
      <c r="B58" s="822" t="s">
        <v>416</v>
      </c>
      <c r="C58" s="760">
        <f t="shared" ref="C58:C60" si="10">SUM(D58:E58)</f>
        <v>0</v>
      </c>
      <c r="D58" s="707">
        <f t="shared" ref="D58:E60" si="11">+F58+H58+J58+L58+N58+P58+R58+T58+V58+X58+Z58+AB58+AD58+AF58+AH58+AJ58+AL58</f>
        <v>0</v>
      </c>
      <c r="E58" s="708">
        <f>+G58+I58+K58+M58+O58+Q58+S58+U58+W58+Y58+AA58+AC58+AE58+AG58+AI58+AK58+AM58</f>
        <v>0</v>
      </c>
      <c r="F58" s="823"/>
      <c r="G58" s="824"/>
      <c r="H58" s="825"/>
      <c r="I58" s="824"/>
      <c r="J58" s="825"/>
      <c r="K58" s="824"/>
      <c r="L58" s="825"/>
      <c r="M58" s="824"/>
      <c r="N58" s="825"/>
      <c r="O58" s="824"/>
      <c r="P58" s="825"/>
      <c r="Q58" s="824"/>
      <c r="R58" s="825"/>
      <c r="S58" s="824"/>
      <c r="T58" s="825"/>
      <c r="U58" s="824"/>
      <c r="V58" s="825"/>
      <c r="W58" s="824"/>
      <c r="X58" s="825"/>
      <c r="Y58" s="824"/>
      <c r="Z58" s="825"/>
      <c r="AA58" s="824"/>
      <c r="AB58" s="825"/>
      <c r="AC58" s="824"/>
      <c r="AD58" s="825"/>
      <c r="AE58" s="824"/>
      <c r="AF58" s="825"/>
      <c r="AG58" s="824"/>
      <c r="AH58" s="825"/>
      <c r="AI58" s="824"/>
      <c r="AJ58" s="825"/>
      <c r="AK58" s="824"/>
      <c r="AL58" s="823"/>
      <c r="AM58" s="826"/>
      <c r="AN58" s="825"/>
      <c r="AO58" s="824"/>
      <c r="AP58" s="825"/>
      <c r="AQ58" s="824"/>
      <c r="AR58" s="5" t="str">
        <f t="shared" ref="AR58:AR60" si="12">$CA58&amp;CB58&amp;CC58&amp;CD58</f>
        <v/>
      </c>
    </row>
    <row r="59" spans="1:44">
      <c r="A59" s="1931"/>
      <c r="B59" s="822" t="s">
        <v>417</v>
      </c>
      <c r="C59" s="760">
        <f t="shared" si="10"/>
        <v>0</v>
      </c>
      <c r="D59" s="707">
        <f t="shared" si="11"/>
        <v>0</v>
      </c>
      <c r="E59" s="708">
        <f t="shared" si="11"/>
        <v>0</v>
      </c>
      <c r="F59" s="823"/>
      <c r="G59" s="824"/>
      <c r="H59" s="825"/>
      <c r="I59" s="824"/>
      <c r="J59" s="825"/>
      <c r="K59" s="824"/>
      <c r="L59" s="825"/>
      <c r="M59" s="824"/>
      <c r="N59" s="825"/>
      <c r="O59" s="824"/>
      <c r="P59" s="825"/>
      <c r="Q59" s="824"/>
      <c r="R59" s="825"/>
      <c r="S59" s="824"/>
      <c r="T59" s="825"/>
      <c r="U59" s="824"/>
      <c r="V59" s="825"/>
      <c r="W59" s="824"/>
      <c r="X59" s="825"/>
      <c r="Y59" s="824"/>
      <c r="Z59" s="825"/>
      <c r="AA59" s="824"/>
      <c r="AB59" s="825"/>
      <c r="AC59" s="824"/>
      <c r="AD59" s="825"/>
      <c r="AE59" s="824"/>
      <c r="AF59" s="825"/>
      <c r="AG59" s="824"/>
      <c r="AH59" s="825"/>
      <c r="AI59" s="824"/>
      <c r="AJ59" s="825"/>
      <c r="AK59" s="824"/>
      <c r="AL59" s="823"/>
      <c r="AM59" s="826"/>
      <c r="AN59" s="825"/>
      <c r="AO59" s="824"/>
      <c r="AP59" s="825"/>
      <c r="AQ59" s="824"/>
      <c r="AR59" s="5" t="str">
        <f t="shared" si="12"/>
        <v/>
      </c>
    </row>
    <row r="60" spans="1:44">
      <c r="A60" s="1932"/>
      <c r="B60" s="827" t="s">
        <v>418</v>
      </c>
      <c r="C60" s="792">
        <f t="shared" si="10"/>
        <v>0</v>
      </c>
      <c r="D60" s="777">
        <f t="shared" si="11"/>
        <v>0</v>
      </c>
      <c r="E60" s="778">
        <f>+G60+I60+K60+M60+O60+Q60+S60+U60+W60+Y60+AA60+AC60+AE60+AG60+AI60+AK60+AM60</f>
        <v>0</v>
      </c>
      <c r="F60" s="828"/>
      <c r="G60" s="829"/>
      <c r="H60" s="828"/>
      <c r="I60" s="829"/>
      <c r="J60" s="828"/>
      <c r="K60" s="829"/>
      <c r="L60" s="828"/>
      <c r="M60" s="829"/>
      <c r="N60" s="828"/>
      <c r="O60" s="829"/>
      <c r="P60" s="828"/>
      <c r="Q60" s="829"/>
      <c r="R60" s="828"/>
      <c r="S60" s="829"/>
      <c r="T60" s="828"/>
      <c r="U60" s="829"/>
      <c r="V60" s="828"/>
      <c r="W60" s="829"/>
      <c r="X60" s="828"/>
      <c r="Y60" s="829"/>
      <c r="Z60" s="828"/>
      <c r="AA60" s="829"/>
      <c r="AB60" s="828"/>
      <c r="AC60" s="829"/>
      <c r="AD60" s="828"/>
      <c r="AE60" s="829"/>
      <c r="AF60" s="828"/>
      <c r="AG60" s="829"/>
      <c r="AH60" s="828"/>
      <c r="AI60" s="829"/>
      <c r="AJ60" s="828"/>
      <c r="AK60" s="829"/>
      <c r="AL60" s="830"/>
      <c r="AM60" s="831"/>
      <c r="AN60" s="828"/>
      <c r="AO60" s="829"/>
      <c r="AP60" s="828"/>
      <c r="AQ60" s="829"/>
      <c r="AR60" s="5" t="str">
        <f t="shared" si="12"/>
        <v/>
      </c>
    </row>
    <row r="61" spans="1:44">
      <c r="A61" s="1933" t="s">
        <v>419</v>
      </c>
      <c r="B61" s="1933"/>
      <c r="C61" s="1933"/>
      <c r="D61" s="1933"/>
      <c r="E61" s="1933"/>
      <c r="F61" s="1933"/>
      <c r="G61" s="1933"/>
      <c r="H61" s="1933"/>
      <c r="I61" s="1933"/>
      <c r="J61" s="1933"/>
      <c r="K61" s="1933"/>
      <c r="L61" s="1933"/>
      <c r="M61" s="1933"/>
      <c r="N61" s="1933"/>
      <c r="O61" s="1933"/>
      <c r="P61" s="1933"/>
      <c r="Q61" s="1933"/>
      <c r="R61" s="1933"/>
      <c r="S61" s="1933"/>
      <c r="T61" s="1933"/>
      <c r="U61" s="1933"/>
      <c r="V61" s="1933"/>
      <c r="W61" s="1933"/>
      <c r="X61" s="1933"/>
      <c r="Y61" s="1933"/>
      <c r="Z61" s="1933"/>
      <c r="AA61" s="1933"/>
      <c r="AB61" s="1933"/>
      <c r="AC61" s="1933"/>
      <c r="AD61" s="1933"/>
      <c r="AE61" s="1933"/>
      <c r="AF61" s="1933"/>
      <c r="AG61" s="1933"/>
      <c r="AH61" s="1933"/>
      <c r="AI61" s="1933"/>
      <c r="AJ61" s="1933"/>
      <c r="AK61" s="1933"/>
      <c r="AL61" s="1933"/>
      <c r="AM61" s="1933"/>
      <c r="AN61" s="5"/>
      <c r="AO61" s="3"/>
      <c r="AP61" s="5"/>
      <c r="AQ61" s="5"/>
      <c r="AR61" s="5"/>
    </row>
    <row r="62" spans="1:44">
      <c r="A62" s="1934" t="s">
        <v>353</v>
      </c>
      <c r="B62" s="1934"/>
      <c r="C62" s="1935" t="s">
        <v>5</v>
      </c>
      <c r="D62" s="1936"/>
      <c r="E62" s="1937"/>
      <c r="F62" s="1938" t="s">
        <v>420</v>
      </c>
      <c r="G62" s="1939"/>
      <c r="H62" s="1939"/>
      <c r="I62" s="1939"/>
      <c r="J62" s="1939"/>
      <c r="K62" s="1939"/>
      <c r="L62" s="1939"/>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39"/>
      <c r="AK62" s="1939"/>
      <c r="AL62" s="1939"/>
      <c r="AM62" s="1940"/>
      <c r="AN62" s="1908" t="s">
        <v>7</v>
      </c>
      <c r="AO62" s="1909"/>
      <c r="AP62" s="1908" t="s">
        <v>58</v>
      </c>
      <c r="AQ62" s="1909"/>
      <c r="AR62" s="5"/>
    </row>
    <row r="63" spans="1:44">
      <c r="A63" s="1934"/>
      <c r="B63" s="1934"/>
      <c r="C63" s="1767"/>
      <c r="D63" s="1768"/>
      <c r="E63" s="1769"/>
      <c r="F63" s="1925" t="s">
        <v>356</v>
      </c>
      <c r="G63" s="1926"/>
      <c r="H63" s="1925" t="s">
        <v>357</v>
      </c>
      <c r="I63" s="1926"/>
      <c r="J63" s="1925" t="s">
        <v>264</v>
      </c>
      <c r="K63" s="1926"/>
      <c r="L63" s="1927" t="s">
        <v>13</v>
      </c>
      <c r="M63" s="1927"/>
      <c r="N63" s="1927" t="s">
        <v>14</v>
      </c>
      <c r="O63" s="1927"/>
      <c r="P63" s="1927" t="s">
        <v>15</v>
      </c>
      <c r="Q63" s="1927"/>
      <c r="R63" s="1928" t="s">
        <v>16</v>
      </c>
      <c r="S63" s="1929"/>
      <c r="T63" s="1927" t="s">
        <v>17</v>
      </c>
      <c r="U63" s="1927"/>
      <c r="V63" s="1928" t="s">
        <v>18</v>
      </c>
      <c r="W63" s="1929"/>
      <c r="X63" s="1927" t="s">
        <v>19</v>
      </c>
      <c r="Y63" s="1927"/>
      <c r="Z63" s="1928" t="s">
        <v>20</v>
      </c>
      <c r="AA63" s="1929"/>
      <c r="AB63" s="1927" t="s">
        <v>21</v>
      </c>
      <c r="AC63" s="1927"/>
      <c r="AD63" s="1928" t="s">
        <v>22</v>
      </c>
      <c r="AE63" s="1929"/>
      <c r="AF63" s="1941" t="s">
        <v>23</v>
      </c>
      <c r="AG63" s="1942"/>
      <c r="AH63" s="1941" t="s">
        <v>358</v>
      </c>
      <c r="AI63" s="1942"/>
      <c r="AJ63" s="1941" t="s">
        <v>359</v>
      </c>
      <c r="AK63" s="1942"/>
      <c r="AL63" s="1941" t="s">
        <v>360</v>
      </c>
      <c r="AM63" s="1943"/>
      <c r="AN63" s="1910"/>
      <c r="AO63" s="1911"/>
      <c r="AP63" s="1910"/>
      <c r="AQ63" s="1911"/>
      <c r="AR63" s="5"/>
    </row>
    <row r="64" spans="1:44" ht="20">
      <c r="A64" s="1934"/>
      <c r="B64" s="1934"/>
      <c r="C64" s="832" t="s">
        <v>361</v>
      </c>
      <c r="D64" s="812" t="s">
        <v>42</v>
      </c>
      <c r="E64" s="813" t="s">
        <v>179</v>
      </c>
      <c r="F64" s="833" t="s">
        <v>42</v>
      </c>
      <c r="G64" s="834" t="s">
        <v>179</v>
      </c>
      <c r="H64" s="833" t="s">
        <v>42</v>
      </c>
      <c r="I64" s="834" t="s">
        <v>179</v>
      </c>
      <c r="J64" s="833" t="s">
        <v>42</v>
      </c>
      <c r="K64" s="834" t="s">
        <v>179</v>
      </c>
      <c r="L64" s="835" t="s">
        <v>42</v>
      </c>
      <c r="M64" s="836" t="s">
        <v>179</v>
      </c>
      <c r="N64" s="835" t="s">
        <v>42</v>
      </c>
      <c r="O64" s="836" t="s">
        <v>179</v>
      </c>
      <c r="P64" s="835" t="s">
        <v>42</v>
      </c>
      <c r="Q64" s="836" t="s">
        <v>179</v>
      </c>
      <c r="R64" s="688" t="s">
        <v>42</v>
      </c>
      <c r="S64" s="689" t="s">
        <v>179</v>
      </c>
      <c r="T64" s="835" t="s">
        <v>42</v>
      </c>
      <c r="U64" s="836" t="s">
        <v>179</v>
      </c>
      <c r="V64" s="688" t="s">
        <v>42</v>
      </c>
      <c r="W64" s="689" t="s">
        <v>179</v>
      </c>
      <c r="X64" s="835" t="s">
        <v>42</v>
      </c>
      <c r="Y64" s="836" t="s">
        <v>179</v>
      </c>
      <c r="Z64" s="688" t="s">
        <v>42</v>
      </c>
      <c r="AA64" s="689" t="s">
        <v>179</v>
      </c>
      <c r="AB64" s="835" t="s">
        <v>42</v>
      </c>
      <c r="AC64" s="836" t="s">
        <v>179</v>
      </c>
      <c r="AD64" s="688" t="s">
        <v>42</v>
      </c>
      <c r="AE64" s="689" t="s">
        <v>179</v>
      </c>
      <c r="AF64" s="690" t="s">
        <v>362</v>
      </c>
      <c r="AG64" s="691" t="s">
        <v>179</v>
      </c>
      <c r="AH64" s="690" t="s">
        <v>362</v>
      </c>
      <c r="AI64" s="691" t="s">
        <v>179</v>
      </c>
      <c r="AJ64" s="690" t="s">
        <v>362</v>
      </c>
      <c r="AK64" s="691" t="s">
        <v>179</v>
      </c>
      <c r="AL64" s="690" t="s">
        <v>362</v>
      </c>
      <c r="AM64" s="694" t="s">
        <v>179</v>
      </c>
      <c r="AN64" s="888" t="s">
        <v>362</v>
      </c>
      <c r="AO64" s="889" t="s">
        <v>179</v>
      </c>
      <c r="AP64" s="888" t="s">
        <v>362</v>
      </c>
      <c r="AQ64" s="889" t="s">
        <v>179</v>
      </c>
      <c r="AR64" s="5"/>
    </row>
    <row r="65" spans="1:44">
      <c r="A65" s="1915" t="s">
        <v>367</v>
      </c>
      <c r="B65" s="837" t="s">
        <v>421</v>
      </c>
      <c r="C65" s="781">
        <f>+D65+E65</f>
        <v>0</v>
      </c>
      <c r="D65" s="697">
        <f>+F65+H65+J65+L65+N65+P65+R65++T65+V65+X65+Z65+AB65+AD65++AF65+AH65+AJ65+AL65</f>
        <v>0</v>
      </c>
      <c r="E65" s="838">
        <f>+G65+I65+K65+M65+O65+Q65+S65++U65+W65+Y65+AA65+AC65+AE65++AG65+AI65+AK65+AM65</f>
        <v>0</v>
      </c>
      <c r="F65" s="699"/>
      <c r="G65" s="752"/>
      <c r="H65" s="699"/>
      <c r="I65" s="752"/>
      <c r="J65" s="699"/>
      <c r="K65" s="752"/>
      <c r="L65" s="751"/>
      <c r="M65" s="752"/>
      <c r="N65" s="699"/>
      <c r="O65" s="788"/>
      <c r="P65" s="699"/>
      <c r="Q65" s="788"/>
      <c r="R65" s="699"/>
      <c r="S65" s="788"/>
      <c r="T65" s="699"/>
      <c r="U65" s="788"/>
      <c r="V65" s="699"/>
      <c r="W65" s="788"/>
      <c r="X65" s="699"/>
      <c r="Y65" s="788"/>
      <c r="Z65" s="699"/>
      <c r="AA65" s="788"/>
      <c r="AB65" s="699"/>
      <c r="AC65" s="788"/>
      <c r="AD65" s="699"/>
      <c r="AE65" s="788"/>
      <c r="AF65" s="699"/>
      <c r="AG65" s="788"/>
      <c r="AH65" s="699"/>
      <c r="AI65" s="788"/>
      <c r="AJ65" s="699"/>
      <c r="AK65" s="788"/>
      <c r="AL65" s="699"/>
      <c r="AM65" s="790"/>
      <c r="AN65" s="784"/>
      <c r="AO65" s="788"/>
      <c r="AP65" s="784"/>
      <c r="AQ65" s="788"/>
      <c r="AR65" s="5" t="str">
        <f>$CA65&amp;CB65&amp;CC65&amp;CD65&amp;CE65</f>
        <v/>
      </c>
    </row>
    <row r="66" spans="1:44">
      <c r="A66" s="1907"/>
      <c r="B66" s="839" t="s">
        <v>422</v>
      </c>
      <c r="C66" s="760">
        <f t="shared" ref="C66:C71" si="13">+D66+E66</f>
        <v>0</v>
      </c>
      <c r="D66" s="707">
        <f>+F66+H66+J66+L66+N66+P66+R66++T66+V66+X66+Z66+AB66+AD66++AF66+AH66+AJ66+AL66</f>
        <v>0</v>
      </c>
      <c r="E66" s="708">
        <f t="shared" ref="D66:E68" si="14">+G66+I66+K66+M66+O66+Q66+S66++U66+W66+Y66+AA66+AC66+AE66++AG66+AI66+AK66+AM66</f>
        <v>0</v>
      </c>
      <c r="F66" s="751"/>
      <c r="G66" s="752"/>
      <c r="H66" s="751"/>
      <c r="I66" s="752"/>
      <c r="J66" s="751"/>
      <c r="K66" s="752"/>
      <c r="L66" s="751"/>
      <c r="M66" s="752"/>
      <c r="N66" s="751"/>
      <c r="O66" s="788"/>
      <c r="P66" s="751"/>
      <c r="Q66" s="788"/>
      <c r="R66" s="751"/>
      <c r="S66" s="788"/>
      <c r="T66" s="751"/>
      <c r="U66" s="788"/>
      <c r="V66" s="751"/>
      <c r="W66" s="788"/>
      <c r="X66" s="751"/>
      <c r="Y66" s="788"/>
      <c r="Z66" s="751"/>
      <c r="AA66" s="788"/>
      <c r="AB66" s="751"/>
      <c r="AC66" s="788"/>
      <c r="AD66" s="751"/>
      <c r="AE66" s="788"/>
      <c r="AF66" s="751"/>
      <c r="AG66" s="788"/>
      <c r="AH66" s="751"/>
      <c r="AI66" s="788"/>
      <c r="AJ66" s="751"/>
      <c r="AK66" s="788"/>
      <c r="AL66" s="751"/>
      <c r="AM66" s="790"/>
      <c r="AN66" s="789"/>
      <c r="AO66" s="788"/>
      <c r="AP66" s="789"/>
      <c r="AQ66" s="788"/>
      <c r="AR66" s="5" t="str">
        <f>$CB66&amp;CC66&amp;CD66&amp;CE66</f>
        <v/>
      </c>
    </row>
    <row r="67" spans="1:44">
      <c r="A67" s="1907"/>
      <c r="B67" s="839" t="s">
        <v>423</v>
      </c>
      <c r="C67" s="760">
        <f t="shared" si="13"/>
        <v>0</v>
      </c>
      <c r="D67" s="707">
        <f t="shared" si="14"/>
        <v>0</v>
      </c>
      <c r="E67" s="708">
        <f t="shared" si="14"/>
        <v>0</v>
      </c>
      <c r="F67" s="751"/>
      <c r="G67" s="752"/>
      <c r="H67" s="751"/>
      <c r="I67" s="752"/>
      <c r="J67" s="751"/>
      <c r="K67" s="752"/>
      <c r="L67" s="751"/>
      <c r="M67" s="752"/>
      <c r="N67" s="751"/>
      <c r="O67" s="788"/>
      <c r="P67" s="751"/>
      <c r="Q67" s="788"/>
      <c r="R67" s="751"/>
      <c r="S67" s="788"/>
      <c r="T67" s="751"/>
      <c r="U67" s="788"/>
      <c r="V67" s="751"/>
      <c r="W67" s="788"/>
      <c r="X67" s="751"/>
      <c r="Y67" s="788"/>
      <c r="Z67" s="751"/>
      <c r="AA67" s="788"/>
      <c r="AB67" s="751"/>
      <c r="AC67" s="788"/>
      <c r="AD67" s="751"/>
      <c r="AE67" s="788"/>
      <c r="AF67" s="751"/>
      <c r="AG67" s="788"/>
      <c r="AH67" s="751"/>
      <c r="AI67" s="788"/>
      <c r="AJ67" s="751"/>
      <c r="AK67" s="788"/>
      <c r="AL67" s="751"/>
      <c r="AM67" s="790"/>
      <c r="AN67" s="789"/>
      <c r="AO67" s="788"/>
      <c r="AP67" s="789"/>
      <c r="AQ67" s="788"/>
      <c r="AR67" s="5" t="str">
        <f t="shared" ref="AR67:AR70" si="15">$CB67&amp;CC67&amp;CD67&amp;CE67</f>
        <v/>
      </c>
    </row>
    <row r="68" spans="1:44">
      <c r="A68" s="1738"/>
      <c r="B68" s="839" t="s">
        <v>424</v>
      </c>
      <c r="C68" s="840">
        <f t="shared" si="13"/>
        <v>0</v>
      </c>
      <c r="D68" s="733">
        <f t="shared" si="14"/>
        <v>0</v>
      </c>
      <c r="E68" s="734">
        <f t="shared" si="14"/>
        <v>0</v>
      </c>
      <c r="F68" s="751"/>
      <c r="G68" s="752"/>
      <c r="H68" s="751"/>
      <c r="I68" s="752"/>
      <c r="J68" s="751"/>
      <c r="K68" s="752"/>
      <c r="L68" s="751"/>
      <c r="M68" s="752"/>
      <c r="N68" s="748"/>
      <c r="O68" s="788"/>
      <c r="P68" s="751"/>
      <c r="Q68" s="788"/>
      <c r="R68" s="751"/>
      <c r="S68" s="788"/>
      <c r="T68" s="751"/>
      <c r="U68" s="788"/>
      <c r="V68" s="751"/>
      <c r="W68" s="788"/>
      <c r="X68" s="751"/>
      <c r="Y68" s="788"/>
      <c r="Z68" s="751"/>
      <c r="AA68" s="788"/>
      <c r="AB68" s="751"/>
      <c r="AC68" s="788"/>
      <c r="AD68" s="751"/>
      <c r="AE68" s="788"/>
      <c r="AF68" s="751"/>
      <c r="AG68" s="788"/>
      <c r="AH68" s="751"/>
      <c r="AI68" s="788"/>
      <c r="AJ68" s="751"/>
      <c r="AK68" s="788"/>
      <c r="AL68" s="751"/>
      <c r="AM68" s="790"/>
      <c r="AN68" s="789"/>
      <c r="AO68" s="788"/>
      <c r="AP68" s="789"/>
      <c r="AQ68" s="788"/>
      <c r="AR68" s="5" t="str">
        <f t="shared" si="15"/>
        <v/>
      </c>
    </row>
    <row r="69" spans="1:44">
      <c r="A69" s="1915" t="s">
        <v>368</v>
      </c>
      <c r="B69" s="841" t="s">
        <v>425</v>
      </c>
      <c r="C69" s="842">
        <f t="shared" si="13"/>
        <v>0</v>
      </c>
      <c r="D69" s="740">
        <f>+V69+X69+Z69+AB69+AD69+AF69+AH69+AJ69+AL69</f>
        <v>0</v>
      </c>
      <c r="E69" s="741">
        <f>+W69+Y69+AA69+AC69+AE69+AG69+AI69+AK69+AM69</f>
        <v>0</v>
      </c>
      <c r="F69" s="701"/>
      <c r="G69" s="702"/>
      <c r="H69" s="701"/>
      <c r="I69" s="702"/>
      <c r="J69" s="701"/>
      <c r="K69" s="702"/>
      <c r="L69" s="701"/>
      <c r="M69" s="702"/>
      <c r="N69" s="701"/>
      <c r="O69" s="843"/>
      <c r="P69" s="701"/>
      <c r="Q69" s="843"/>
      <c r="R69" s="701"/>
      <c r="S69" s="843"/>
      <c r="T69" s="701"/>
      <c r="U69" s="843"/>
      <c r="V69" s="751"/>
      <c r="W69" s="788"/>
      <c r="X69" s="751"/>
      <c r="Y69" s="788"/>
      <c r="Z69" s="751"/>
      <c r="AA69" s="788"/>
      <c r="AB69" s="751"/>
      <c r="AC69" s="788"/>
      <c r="AD69" s="751"/>
      <c r="AE69" s="788"/>
      <c r="AF69" s="751"/>
      <c r="AG69" s="788"/>
      <c r="AH69" s="751"/>
      <c r="AI69" s="788"/>
      <c r="AJ69" s="751"/>
      <c r="AK69" s="788"/>
      <c r="AL69" s="751"/>
      <c r="AM69" s="790"/>
      <c r="AN69" s="789"/>
      <c r="AO69" s="788"/>
      <c r="AP69" s="789"/>
      <c r="AQ69" s="788"/>
      <c r="AR69" s="5" t="str">
        <f t="shared" si="15"/>
        <v/>
      </c>
    </row>
    <row r="70" spans="1:44">
      <c r="A70" s="1916"/>
      <c r="B70" s="670" t="s">
        <v>426</v>
      </c>
      <c r="C70" s="844">
        <f t="shared" si="13"/>
        <v>0</v>
      </c>
      <c r="D70" s="845">
        <f>+V70+X70+Z70+AB70+AD70+AF70+AH70+AJ70+AL70</f>
        <v>0</v>
      </c>
      <c r="E70" s="846">
        <f t="shared" ref="D70:E71" si="16">+W70+Y70+AA70+AC70+AE70+AG70+AI70+AK70+AM70</f>
        <v>0</v>
      </c>
      <c r="F70" s="713"/>
      <c r="G70" s="714"/>
      <c r="H70" s="713"/>
      <c r="I70" s="714"/>
      <c r="J70" s="713"/>
      <c r="K70" s="714"/>
      <c r="L70" s="713"/>
      <c r="M70" s="714"/>
      <c r="N70" s="713"/>
      <c r="O70" s="847"/>
      <c r="P70" s="713"/>
      <c r="Q70" s="847"/>
      <c r="R70" s="713"/>
      <c r="S70" s="847"/>
      <c r="T70" s="713"/>
      <c r="U70" s="847"/>
      <c r="V70" s="751"/>
      <c r="W70" s="788"/>
      <c r="X70" s="751"/>
      <c r="Y70" s="788"/>
      <c r="Z70" s="751"/>
      <c r="AA70" s="788"/>
      <c r="AB70" s="751"/>
      <c r="AC70" s="788"/>
      <c r="AD70" s="751"/>
      <c r="AE70" s="788"/>
      <c r="AF70" s="751"/>
      <c r="AG70" s="788"/>
      <c r="AH70" s="751"/>
      <c r="AI70" s="788"/>
      <c r="AJ70" s="751"/>
      <c r="AK70" s="788"/>
      <c r="AL70" s="751"/>
      <c r="AM70" s="790"/>
      <c r="AN70" s="789"/>
      <c r="AO70" s="788"/>
      <c r="AP70" s="789"/>
      <c r="AQ70" s="788"/>
      <c r="AR70" s="5" t="str">
        <f t="shared" si="15"/>
        <v/>
      </c>
    </row>
    <row r="71" spans="1:44">
      <c r="A71" s="1738"/>
      <c r="B71" s="848" t="s">
        <v>424</v>
      </c>
      <c r="C71" s="840">
        <f t="shared" si="13"/>
        <v>0</v>
      </c>
      <c r="D71" s="733">
        <f t="shared" si="16"/>
        <v>0</v>
      </c>
      <c r="E71" s="734">
        <f t="shared" si="16"/>
        <v>0</v>
      </c>
      <c r="F71" s="744"/>
      <c r="G71" s="745"/>
      <c r="H71" s="744"/>
      <c r="I71" s="745"/>
      <c r="J71" s="744"/>
      <c r="K71" s="745"/>
      <c r="L71" s="744"/>
      <c r="M71" s="745"/>
      <c r="N71" s="744"/>
      <c r="O71" s="849"/>
      <c r="P71" s="744"/>
      <c r="Q71" s="849"/>
      <c r="R71" s="744"/>
      <c r="S71" s="849"/>
      <c r="T71" s="744"/>
      <c r="U71" s="849"/>
      <c r="V71" s="722"/>
      <c r="W71" s="850"/>
      <c r="X71" s="722"/>
      <c r="Y71" s="850"/>
      <c r="Z71" s="722"/>
      <c r="AA71" s="850"/>
      <c r="AB71" s="722"/>
      <c r="AC71" s="850"/>
      <c r="AD71" s="722"/>
      <c r="AE71" s="850"/>
      <c r="AF71" s="722"/>
      <c r="AG71" s="850"/>
      <c r="AH71" s="722"/>
      <c r="AI71" s="850"/>
      <c r="AJ71" s="722"/>
      <c r="AK71" s="850"/>
      <c r="AL71" s="722"/>
      <c r="AM71" s="851"/>
      <c r="AN71" s="852"/>
      <c r="AO71" s="850"/>
      <c r="AP71" s="852"/>
      <c r="AQ71" s="850"/>
      <c r="AR71" s="5" t="str">
        <f>$CA71&amp;CB71&amp;CC71&amp;CD71&amp;CE71</f>
        <v/>
      </c>
    </row>
    <row r="72" spans="1:44">
      <c r="A72" s="853" t="s">
        <v>427</v>
      </c>
      <c r="B72" s="854"/>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5"/>
      <c r="AN72" s="5"/>
      <c r="AO72" s="3"/>
      <c r="AP72" s="5"/>
      <c r="AQ72" s="5"/>
      <c r="AR72" s="5"/>
    </row>
    <row r="73" spans="1:44">
      <c r="A73" s="1917" t="s">
        <v>428</v>
      </c>
      <c r="B73" s="1920" t="s">
        <v>429</v>
      </c>
      <c r="C73" s="1921" t="s">
        <v>5</v>
      </c>
      <c r="D73" s="1921"/>
      <c r="E73" s="1921"/>
      <c r="F73" s="1922" t="s">
        <v>420</v>
      </c>
      <c r="G73" s="1923"/>
      <c r="H73" s="1923"/>
      <c r="I73" s="1923"/>
      <c r="J73" s="1923"/>
      <c r="K73" s="1923"/>
      <c r="L73" s="1923"/>
      <c r="M73" s="1923"/>
      <c r="N73" s="1923"/>
      <c r="O73" s="1923"/>
      <c r="P73" s="1923"/>
      <c r="Q73" s="1923"/>
      <c r="R73" s="1923"/>
      <c r="S73" s="1923"/>
      <c r="T73" s="1923"/>
      <c r="U73" s="1923"/>
      <c r="V73" s="1923"/>
      <c r="W73" s="1923"/>
      <c r="X73" s="1923"/>
      <c r="Y73" s="1923"/>
      <c r="Z73" s="1923"/>
      <c r="AA73" s="1923"/>
      <c r="AB73" s="1923"/>
      <c r="AC73" s="1923"/>
      <c r="AD73" s="1923"/>
      <c r="AE73" s="1923"/>
      <c r="AF73" s="1923"/>
      <c r="AG73" s="1923"/>
      <c r="AH73" s="1923"/>
      <c r="AI73" s="1923"/>
      <c r="AJ73" s="1923"/>
      <c r="AK73" s="1923"/>
      <c r="AL73" s="1923"/>
      <c r="AM73" s="1924"/>
      <c r="AN73" s="1908" t="s">
        <v>7</v>
      </c>
      <c r="AO73" s="1909"/>
      <c r="AP73" s="1908" t="s">
        <v>58</v>
      </c>
      <c r="AQ73" s="1909"/>
      <c r="AR73" s="5"/>
    </row>
    <row r="74" spans="1:44">
      <c r="A74" s="1918"/>
      <c r="B74" s="1920"/>
      <c r="C74" s="1921"/>
      <c r="D74" s="1921"/>
      <c r="E74" s="1921"/>
      <c r="F74" s="1912" t="s">
        <v>356</v>
      </c>
      <c r="G74" s="1913"/>
      <c r="H74" s="1912" t="s">
        <v>430</v>
      </c>
      <c r="I74" s="1913"/>
      <c r="J74" s="1914" t="s">
        <v>431</v>
      </c>
      <c r="K74" s="1914"/>
      <c r="L74" s="1912" t="s">
        <v>432</v>
      </c>
      <c r="M74" s="1913"/>
      <c r="N74" s="1902" t="s">
        <v>433</v>
      </c>
      <c r="O74" s="1902"/>
      <c r="P74" s="1902" t="s">
        <v>15</v>
      </c>
      <c r="Q74" s="1902"/>
      <c r="R74" s="1902" t="s">
        <v>16</v>
      </c>
      <c r="S74" s="1902"/>
      <c r="T74" s="1902" t="s">
        <v>17</v>
      </c>
      <c r="U74" s="1902"/>
      <c r="V74" s="1903" t="s">
        <v>434</v>
      </c>
      <c r="W74" s="1904"/>
      <c r="X74" s="1902" t="s">
        <v>435</v>
      </c>
      <c r="Y74" s="1902"/>
      <c r="Z74" s="1903" t="s">
        <v>436</v>
      </c>
      <c r="AA74" s="1904"/>
      <c r="AB74" s="1902" t="s">
        <v>437</v>
      </c>
      <c r="AC74" s="1902"/>
      <c r="AD74" s="1903" t="s">
        <v>438</v>
      </c>
      <c r="AE74" s="1904"/>
      <c r="AF74" s="1902" t="s">
        <v>439</v>
      </c>
      <c r="AG74" s="1902"/>
      <c r="AH74" s="1903" t="s">
        <v>440</v>
      </c>
      <c r="AI74" s="1904"/>
      <c r="AJ74" s="1902" t="s">
        <v>441</v>
      </c>
      <c r="AK74" s="1902"/>
      <c r="AL74" s="1903" t="s">
        <v>442</v>
      </c>
      <c r="AM74" s="1905"/>
      <c r="AN74" s="1910"/>
      <c r="AO74" s="1911"/>
      <c r="AP74" s="1910"/>
      <c r="AQ74" s="1911"/>
      <c r="AR74" s="5"/>
    </row>
    <row r="75" spans="1:44">
      <c r="A75" s="1919"/>
      <c r="B75" s="1920"/>
      <c r="C75" s="855" t="s">
        <v>443</v>
      </c>
      <c r="D75" s="856" t="s">
        <v>42</v>
      </c>
      <c r="E75" s="857" t="s">
        <v>179</v>
      </c>
      <c r="F75" s="688" t="s">
        <v>42</v>
      </c>
      <c r="G75" s="689" t="s">
        <v>179</v>
      </c>
      <c r="H75" s="858" t="s">
        <v>42</v>
      </c>
      <c r="I75" s="689" t="s">
        <v>179</v>
      </c>
      <c r="J75" s="858" t="s">
        <v>42</v>
      </c>
      <c r="K75" s="689" t="s">
        <v>179</v>
      </c>
      <c r="L75" s="858" t="s">
        <v>42</v>
      </c>
      <c r="M75" s="689" t="s">
        <v>179</v>
      </c>
      <c r="N75" s="858" t="s">
        <v>42</v>
      </c>
      <c r="O75" s="689" t="s">
        <v>179</v>
      </c>
      <c r="P75" s="858" t="s">
        <v>42</v>
      </c>
      <c r="Q75" s="689" t="s">
        <v>179</v>
      </c>
      <c r="R75" s="858" t="s">
        <v>42</v>
      </c>
      <c r="S75" s="689" t="s">
        <v>179</v>
      </c>
      <c r="T75" s="858" t="s">
        <v>42</v>
      </c>
      <c r="U75" s="689" t="s">
        <v>179</v>
      </c>
      <c r="V75" s="858" t="s">
        <v>42</v>
      </c>
      <c r="W75" s="689" t="s">
        <v>179</v>
      </c>
      <c r="X75" s="858" t="s">
        <v>42</v>
      </c>
      <c r="Y75" s="689" t="s">
        <v>179</v>
      </c>
      <c r="Z75" s="858" t="s">
        <v>42</v>
      </c>
      <c r="AA75" s="689" t="s">
        <v>179</v>
      </c>
      <c r="AB75" s="858" t="s">
        <v>42</v>
      </c>
      <c r="AC75" s="689" t="s">
        <v>179</v>
      </c>
      <c r="AD75" s="858" t="s">
        <v>42</v>
      </c>
      <c r="AE75" s="689" t="s">
        <v>179</v>
      </c>
      <c r="AF75" s="858" t="s">
        <v>42</v>
      </c>
      <c r="AG75" s="689" t="s">
        <v>179</v>
      </c>
      <c r="AH75" s="858" t="s">
        <v>42</v>
      </c>
      <c r="AI75" s="689" t="s">
        <v>179</v>
      </c>
      <c r="AJ75" s="858" t="s">
        <v>42</v>
      </c>
      <c r="AK75" s="689" t="s">
        <v>179</v>
      </c>
      <c r="AL75" s="858" t="s">
        <v>42</v>
      </c>
      <c r="AM75" s="859" t="s">
        <v>179</v>
      </c>
      <c r="AN75" s="888" t="s">
        <v>362</v>
      </c>
      <c r="AO75" s="889" t="s">
        <v>179</v>
      </c>
      <c r="AP75" s="888" t="s">
        <v>362</v>
      </c>
      <c r="AQ75" s="889" t="s">
        <v>179</v>
      </c>
      <c r="AR75" s="5"/>
    </row>
    <row r="76" spans="1:44">
      <c r="A76" s="1906" t="s">
        <v>368</v>
      </c>
      <c r="B76" s="860" t="s">
        <v>444</v>
      </c>
      <c r="C76" s="861">
        <f>SUM(D76:E76)</f>
        <v>0</v>
      </c>
      <c r="D76" s="862">
        <f>+V76+X76+Z76+AB76+AD76+AF76+AH76+AJ76+AL76</f>
        <v>0</v>
      </c>
      <c r="E76" s="863">
        <f>+W76+Y76+AA76+AC76+AE76+AG76+AI76+AK76+AM76</f>
        <v>0</v>
      </c>
      <c r="F76" s="864"/>
      <c r="G76" s="865"/>
      <c r="H76" s="29"/>
      <c r="I76" s="865"/>
      <c r="J76" s="29"/>
      <c r="K76" s="865"/>
      <c r="L76" s="29"/>
      <c r="M76" s="865"/>
      <c r="N76" s="29"/>
      <c r="O76" s="865"/>
      <c r="P76" s="29"/>
      <c r="Q76" s="865"/>
      <c r="R76" s="29"/>
      <c r="S76" s="865"/>
      <c r="T76" s="29"/>
      <c r="U76" s="865"/>
      <c r="V76" s="23"/>
      <c r="W76" s="53"/>
      <c r="X76" s="23"/>
      <c r="Y76" s="53"/>
      <c r="Z76" s="23"/>
      <c r="AA76" s="53"/>
      <c r="AB76" s="23"/>
      <c r="AC76" s="53"/>
      <c r="AD76" s="23"/>
      <c r="AE76" s="53"/>
      <c r="AF76" s="23"/>
      <c r="AG76" s="53"/>
      <c r="AH76" s="23"/>
      <c r="AI76" s="53"/>
      <c r="AJ76" s="23"/>
      <c r="AK76" s="53"/>
      <c r="AL76" s="46"/>
      <c r="AM76" s="534"/>
      <c r="AN76" s="46"/>
      <c r="AO76" s="53"/>
      <c r="AP76" s="46"/>
      <c r="AQ76" s="53"/>
      <c r="AR76" s="5" t="str">
        <f>$CA76&amp;CB76&amp;CC76&amp;CD76&amp;CE76</f>
        <v/>
      </c>
    </row>
    <row r="77" spans="1:44">
      <c r="A77" s="1907"/>
      <c r="B77" s="866" t="s">
        <v>445</v>
      </c>
      <c r="C77" s="867">
        <f>SUM(D77:E77)</f>
        <v>0</v>
      </c>
      <c r="D77" s="868">
        <f>+V77+X77+Z77+AB77+AD77+AF77+AH77+AJ77+AL77</f>
        <v>0</v>
      </c>
      <c r="E77" s="869">
        <f t="shared" ref="E77" si="17">+W77+Y77+AA77+AC77+AE77+AG77+AI77+AK77+AM77</f>
        <v>0</v>
      </c>
      <c r="F77" s="870"/>
      <c r="G77" s="871"/>
      <c r="H77" s="59"/>
      <c r="I77" s="871"/>
      <c r="J77" s="59"/>
      <c r="K77" s="871"/>
      <c r="L77" s="59"/>
      <c r="M77" s="871"/>
      <c r="N77" s="59"/>
      <c r="O77" s="871"/>
      <c r="P77" s="59"/>
      <c r="Q77" s="871"/>
      <c r="R77" s="59"/>
      <c r="S77" s="871"/>
      <c r="T77" s="59"/>
      <c r="U77" s="871"/>
      <c r="V77" s="54"/>
      <c r="W77" s="60"/>
      <c r="X77" s="54"/>
      <c r="Y77" s="60"/>
      <c r="Z77" s="54"/>
      <c r="AA77" s="60"/>
      <c r="AB77" s="54"/>
      <c r="AC77" s="60"/>
      <c r="AD77" s="54"/>
      <c r="AE77" s="60"/>
      <c r="AF77" s="54"/>
      <c r="AG77" s="60"/>
      <c r="AH77" s="54"/>
      <c r="AI77" s="60"/>
      <c r="AJ77" s="54"/>
      <c r="AK77" s="60"/>
      <c r="AL77" s="54"/>
      <c r="AM77" s="526"/>
      <c r="AN77" s="54"/>
      <c r="AO77" s="60"/>
      <c r="AP77" s="54"/>
      <c r="AQ77" s="60"/>
      <c r="AR77" s="5" t="str">
        <f>$CB77&amp;CC77&amp;CD77&amp;CE77</f>
        <v/>
      </c>
    </row>
    <row r="78" spans="1:44">
      <c r="A78" s="1738"/>
      <c r="B78" s="872" t="s">
        <v>446</v>
      </c>
      <c r="C78" s="873">
        <f t="shared" ref="C78:C84" si="18">SUM(D78:E78)</f>
        <v>0</v>
      </c>
      <c r="D78" s="874">
        <f t="shared" ref="D78" si="19">+V78+X78+Z78+AB78+AD78+AF78+AH78+AJ78+AL78</f>
        <v>0</v>
      </c>
      <c r="E78" s="875">
        <f>+W78+Y78+AA78+AC78+AE78+AG78+AI78+AK78+AM78</f>
        <v>0</v>
      </c>
      <c r="F78" s="148"/>
      <c r="G78" s="876"/>
      <c r="H78" s="43"/>
      <c r="I78" s="876"/>
      <c r="J78" s="43"/>
      <c r="K78" s="876"/>
      <c r="L78" s="43"/>
      <c r="M78" s="876"/>
      <c r="N78" s="43"/>
      <c r="O78" s="876"/>
      <c r="P78" s="43"/>
      <c r="Q78" s="876"/>
      <c r="R78" s="43"/>
      <c r="S78" s="876"/>
      <c r="T78" s="43"/>
      <c r="U78" s="876"/>
      <c r="V78" s="37"/>
      <c r="W78" s="44"/>
      <c r="X78" s="37"/>
      <c r="Y78" s="44"/>
      <c r="Z78" s="37"/>
      <c r="AA78" s="44"/>
      <c r="AB78" s="37"/>
      <c r="AC78" s="44"/>
      <c r="AD78" s="37"/>
      <c r="AE78" s="44"/>
      <c r="AF78" s="37"/>
      <c r="AG78" s="44"/>
      <c r="AH78" s="37"/>
      <c r="AI78" s="44"/>
      <c r="AJ78" s="37"/>
      <c r="AK78" s="44"/>
      <c r="AL78" s="37"/>
      <c r="AM78" s="147"/>
      <c r="AN78" s="37"/>
      <c r="AO78" s="44"/>
      <c r="AP78" s="37"/>
      <c r="AQ78" s="44"/>
      <c r="AR78" s="5" t="str">
        <f t="shared" ref="AR78:AR83" si="20">$CB78&amp;CC78&amp;CD78&amp;CE78</f>
        <v/>
      </c>
    </row>
    <row r="79" spans="1:44">
      <c r="A79" s="1906" t="s">
        <v>367</v>
      </c>
      <c r="B79" s="860" t="s">
        <v>444</v>
      </c>
      <c r="C79" s="861">
        <f t="shared" si="18"/>
        <v>0</v>
      </c>
      <c r="D79" s="862">
        <f>+F79+H79+J79+L79+N79+P79+R79+T79+V79+X79+Z79+AB79+AD79+AF79+AH79+AJ79+AL79</f>
        <v>0</v>
      </c>
      <c r="E79" s="863">
        <f>+G79+I79+K79+M79+O79+Q79+S79+U79+W79+Y79+AA79+AC79+AE79+AG79+AI79+AK79+AM79</f>
        <v>0</v>
      </c>
      <c r="F79" s="27"/>
      <c r="G79" s="30"/>
      <c r="H79" s="23"/>
      <c r="I79" s="30"/>
      <c r="J79" s="23"/>
      <c r="K79" s="30"/>
      <c r="L79" s="23"/>
      <c r="M79" s="30"/>
      <c r="N79" s="23"/>
      <c r="O79" s="30"/>
      <c r="P79" s="23"/>
      <c r="Q79" s="30"/>
      <c r="R79" s="23"/>
      <c r="S79" s="30"/>
      <c r="T79" s="23"/>
      <c r="U79" s="30"/>
      <c r="V79" s="23"/>
      <c r="W79" s="30"/>
      <c r="X79" s="23"/>
      <c r="Y79" s="30"/>
      <c r="Z79" s="23"/>
      <c r="AA79" s="30"/>
      <c r="AB79" s="23"/>
      <c r="AC79" s="30"/>
      <c r="AD79" s="23"/>
      <c r="AE79" s="30"/>
      <c r="AF79" s="23"/>
      <c r="AG79" s="30"/>
      <c r="AH79" s="23"/>
      <c r="AI79" s="30"/>
      <c r="AJ79" s="23"/>
      <c r="AK79" s="30"/>
      <c r="AL79" s="23"/>
      <c r="AM79" s="140"/>
      <c r="AN79" s="23"/>
      <c r="AO79" s="30"/>
      <c r="AP79" s="23"/>
      <c r="AQ79" s="30"/>
      <c r="AR79" s="5" t="str">
        <f t="shared" si="20"/>
        <v/>
      </c>
    </row>
    <row r="80" spans="1:44">
      <c r="A80" s="1907"/>
      <c r="B80" s="866" t="s">
        <v>445</v>
      </c>
      <c r="C80" s="877">
        <f t="shared" si="18"/>
        <v>0</v>
      </c>
      <c r="D80" s="878">
        <f t="shared" ref="D80:E84" si="21">+F80+H80+J80+L80+N80+P80+R80+T80+V80+X80+Z80+AB80+AD80+AF80+AH80+AJ80+AL80</f>
        <v>0</v>
      </c>
      <c r="E80" s="879">
        <f t="shared" si="21"/>
        <v>0</v>
      </c>
      <c r="F80" s="57"/>
      <c r="G80" s="60"/>
      <c r="H80" s="54"/>
      <c r="I80" s="60"/>
      <c r="J80" s="54"/>
      <c r="K80" s="60"/>
      <c r="L80" s="54"/>
      <c r="M80" s="60"/>
      <c r="N80" s="54"/>
      <c r="O80" s="60"/>
      <c r="P80" s="54"/>
      <c r="Q80" s="60"/>
      <c r="R80" s="54"/>
      <c r="S80" s="60"/>
      <c r="T80" s="54"/>
      <c r="U80" s="60"/>
      <c r="V80" s="54"/>
      <c r="W80" s="60"/>
      <c r="X80" s="54"/>
      <c r="Y80" s="60"/>
      <c r="Z80" s="54"/>
      <c r="AA80" s="60"/>
      <c r="AB80" s="54"/>
      <c r="AC80" s="60"/>
      <c r="AD80" s="54"/>
      <c r="AE80" s="60"/>
      <c r="AF80" s="54"/>
      <c r="AG80" s="60"/>
      <c r="AH80" s="54"/>
      <c r="AI80" s="60"/>
      <c r="AJ80" s="54"/>
      <c r="AK80" s="60"/>
      <c r="AL80" s="54"/>
      <c r="AM80" s="526"/>
      <c r="AN80" s="54"/>
      <c r="AO80" s="60"/>
      <c r="AP80" s="54"/>
      <c r="AQ80" s="60"/>
      <c r="AR80" s="5" t="str">
        <f t="shared" si="20"/>
        <v/>
      </c>
    </row>
    <row r="81" spans="1:44">
      <c r="A81" s="1738"/>
      <c r="B81" s="872" t="s">
        <v>446</v>
      </c>
      <c r="C81" s="873">
        <f t="shared" si="18"/>
        <v>0</v>
      </c>
      <c r="D81" s="874">
        <f t="shared" si="21"/>
        <v>0</v>
      </c>
      <c r="E81" s="875">
        <f t="shared" si="21"/>
        <v>0</v>
      </c>
      <c r="F81" s="41"/>
      <c r="G81" s="44"/>
      <c r="H81" s="37"/>
      <c r="I81" s="44"/>
      <c r="J81" s="37"/>
      <c r="K81" s="44"/>
      <c r="L81" s="37"/>
      <c r="M81" s="44"/>
      <c r="N81" s="37"/>
      <c r="O81" s="44"/>
      <c r="P81" s="37"/>
      <c r="Q81" s="44"/>
      <c r="R81" s="37"/>
      <c r="S81" s="44"/>
      <c r="T81" s="37"/>
      <c r="U81" s="44"/>
      <c r="V81" s="37"/>
      <c r="W81" s="44"/>
      <c r="X81" s="37"/>
      <c r="Y81" s="44"/>
      <c r="Z81" s="37"/>
      <c r="AA81" s="44"/>
      <c r="AB81" s="37"/>
      <c r="AC81" s="44"/>
      <c r="AD81" s="37"/>
      <c r="AE81" s="44"/>
      <c r="AF81" s="37"/>
      <c r="AG81" s="44"/>
      <c r="AH81" s="37"/>
      <c r="AI81" s="44"/>
      <c r="AJ81" s="37"/>
      <c r="AK81" s="44"/>
      <c r="AL81" s="37"/>
      <c r="AM81" s="147"/>
      <c r="AN81" s="37"/>
      <c r="AO81" s="44"/>
      <c r="AP81" s="37"/>
      <c r="AQ81" s="44"/>
      <c r="AR81" s="5" t="str">
        <f t="shared" si="20"/>
        <v/>
      </c>
    </row>
    <row r="82" spans="1:44">
      <c r="A82" s="1899" t="s">
        <v>447</v>
      </c>
      <c r="B82" s="860" t="s">
        <v>444</v>
      </c>
      <c r="C82" s="861">
        <f t="shared" si="18"/>
        <v>0</v>
      </c>
      <c r="D82" s="862">
        <f t="shared" si="21"/>
        <v>0</v>
      </c>
      <c r="E82" s="863">
        <f t="shared" si="21"/>
        <v>0</v>
      </c>
      <c r="F82" s="27"/>
      <c r="G82" s="53"/>
      <c r="H82" s="23"/>
      <c r="I82" s="53"/>
      <c r="J82" s="23"/>
      <c r="K82" s="53"/>
      <c r="L82" s="23"/>
      <c r="M82" s="53"/>
      <c r="N82" s="23"/>
      <c r="O82" s="53"/>
      <c r="P82" s="23"/>
      <c r="Q82" s="53"/>
      <c r="R82" s="23"/>
      <c r="S82" s="53"/>
      <c r="T82" s="23"/>
      <c r="U82" s="53"/>
      <c r="V82" s="23"/>
      <c r="W82" s="53"/>
      <c r="X82" s="23"/>
      <c r="Y82" s="53"/>
      <c r="Z82" s="23"/>
      <c r="AA82" s="53"/>
      <c r="AB82" s="23"/>
      <c r="AC82" s="53"/>
      <c r="AD82" s="23"/>
      <c r="AE82" s="53"/>
      <c r="AF82" s="23"/>
      <c r="AG82" s="53"/>
      <c r="AH82" s="23"/>
      <c r="AI82" s="53"/>
      <c r="AJ82" s="23"/>
      <c r="AK82" s="53"/>
      <c r="AL82" s="46"/>
      <c r="AM82" s="534"/>
      <c r="AN82" s="46"/>
      <c r="AO82" s="53"/>
      <c r="AP82" s="46"/>
      <c r="AQ82" s="53"/>
      <c r="AR82" s="5" t="str">
        <f t="shared" si="20"/>
        <v/>
      </c>
    </row>
    <row r="83" spans="1:44">
      <c r="A83" s="1900"/>
      <c r="B83" s="866" t="s">
        <v>448</v>
      </c>
      <c r="C83" s="867">
        <f t="shared" si="18"/>
        <v>0</v>
      </c>
      <c r="D83" s="868">
        <f t="shared" si="21"/>
        <v>0</v>
      </c>
      <c r="E83" s="869">
        <f>+G83+I83+K83+M83+O83+Q83+S83+U83+W83+Y83+AA83+AC83+AE83+AG83+AI83+AK83+AM83</f>
        <v>0</v>
      </c>
      <c r="F83" s="64"/>
      <c r="G83" s="67"/>
      <c r="H83" s="61"/>
      <c r="I83" s="67"/>
      <c r="J83" s="61"/>
      <c r="K83" s="67"/>
      <c r="L83" s="61"/>
      <c r="M83" s="67"/>
      <c r="N83" s="61"/>
      <c r="O83" s="67"/>
      <c r="P83" s="61"/>
      <c r="Q83" s="67"/>
      <c r="R83" s="61"/>
      <c r="S83" s="67"/>
      <c r="T83" s="61"/>
      <c r="U83" s="67"/>
      <c r="V83" s="61"/>
      <c r="W83" s="67"/>
      <c r="X83" s="61"/>
      <c r="Y83" s="67"/>
      <c r="Z83" s="61"/>
      <c r="AA83" s="67"/>
      <c r="AB83" s="61"/>
      <c r="AC83" s="67"/>
      <c r="AD83" s="61"/>
      <c r="AE83" s="67"/>
      <c r="AF83" s="61"/>
      <c r="AG83" s="67"/>
      <c r="AH83" s="61"/>
      <c r="AI83" s="67"/>
      <c r="AJ83" s="61"/>
      <c r="AK83" s="67"/>
      <c r="AL83" s="61"/>
      <c r="AM83" s="531"/>
      <c r="AN83" s="61"/>
      <c r="AO83" s="67"/>
      <c r="AP83" s="61"/>
      <c r="AQ83" s="67"/>
      <c r="AR83" s="5" t="str">
        <f t="shared" si="20"/>
        <v/>
      </c>
    </row>
    <row r="84" spans="1:44">
      <c r="A84" s="1901"/>
      <c r="B84" s="872" t="s">
        <v>446</v>
      </c>
      <c r="C84" s="873">
        <f t="shared" si="18"/>
        <v>0</v>
      </c>
      <c r="D84" s="874">
        <f t="shared" si="21"/>
        <v>0</v>
      </c>
      <c r="E84" s="875">
        <f t="shared" si="21"/>
        <v>0</v>
      </c>
      <c r="F84" s="81"/>
      <c r="G84" s="84"/>
      <c r="H84" s="79"/>
      <c r="I84" s="84"/>
      <c r="J84" s="79"/>
      <c r="K84" s="84"/>
      <c r="L84" s="79"/>
      <c r="M84" s="84"/>
      <c r="N84" s="79"/>
      <c r="O84" s="84"/>
      <c r="P84" s="79"/>
      <c r="Q84" s="84"/>
      <c r="R84" s="79"/>
      <c r="S84" s="84"/>
      <c r="T84" s="79"/>
      <c r="U84" s="84"/>
      <c r="V84" s="79"/>
      <c r="W84" s="84"/>
      <c r="X84" s="79"/>
      <c r="Y84" s="84"/>
      <c r="Z84" s="79"/>
      <c r="AA84" s="84"/>
      <c r="AB84" s="79"/>
      <c r="AC84" s="84"/>
      <c r="AD84" s="79"/>
      <c r="AE84" s="84"/>
      <c r="AF84" s="79"/>
      <c r="AG84" s="84"/>
      <c r="AH84" s="79"/>
      <c r="AI84" s="84"/>
      <c r="AJ84" s="79"/>
      <c r="AK84" s="84"/>
      <c r="AL84" s="79"/>
      <c r="AM84" s="533"/>
      <c r="AN84" s="79"/>
      <c r="AO84" s="84"/>
      <c r="AP84" s="79"/>
      <c r="AQ84" s="84"/>
      <c r="AR84" s="5" t="str">
        <f t="shared" ref="AR84" si="22">$CA84&amp;CB84&amp;CC84&amp;CD84&amp;CE84</f>
        <v/>
      </c>
    </row>
  </sheetData>
  <mergeCells count="126">
    <mergeCell ref="A7:T7"/>
    <mergeCell ref="A9:B11"/>
    <mergeCell ref="C9:E10"/>
    <mergeCell ref="F9:AM9"/>
    <mergeCell ref="AN9:AN11"/>
    <mergeCell ref="AO9:AP10"/>
    <mergeCell ref="X10:Y10"/>
    <mergeCell ref="Z10:AA10"/>
    <mergeCell ref="AB10:AC10"/>
    <mergeCell ref="AD10:AE10"/>
    <mergeCell ref="AF10:AG10"/>
    <mergeCell ref="AH10:AI10"/>
    <mergeCell ref="AJ10:AK10"/>
    <mergeCell ref="AL10:AM10"/>
    <mergeCell ref="A12:A14"/>
    <mergeCell ref="A15:A17"/>
    <mergeCell ref="AQ9:AR10"/>
    <mergeCell ref="F10:G10"/>
    <mergeCell ref="H10:I10"/>
    <mergeCell ref="J10:K10"/>
    <mergeCell ref="L10:M10"/>
    <mergeCell ref="N10:O10"/>
    <mergeCell ref="P10:Q10"/>
    <mergeCell ref="R10:S10"/>
    <mergeCell ref="T10:U10"/>
    <mergeCell ref="V10:W10"/>
    <mergeCell ref="A25:B25"/>
    <mergeCell ref="A26:B26"/>
    <mergeCell ref="A27:B27"/>
    <mergeCell ref="A28:B28"/>
    <mergeCell ref="A29:B29"/>
    <mergeCell ref="A30:B30"/>
    <mergeCell ref="A18:A19"/>
    <mergeCell ref="A20:B20"/>
    <mergeCell ref="A21:B21"/>
    <mergeCell ref="A22:B22"/>
    <mergeCell ref="A23:B23"/>
    <mergeCell ref="A24:B24"/>
    <mergeCell ref="A45:A47"/>
    <mergeCell ref="A49:AP49"/>
    <mergeCell ref="A50:A51"/>
    <mergeCell ref="B50:B51"/>
    <mergeCell ref="C50:C51"/>
    <mergeCell ref="D50:D51"/>
    <mergeCell ref="E50:N50"/>
    <mergeCell ref="A31:B31"/>
    <mergeCell ref="A32:B32"/>
    <mergeCell ref="A33:B33"/>
    <mergeCell ref="A34:B34"/>
    <mergeCell ref="A35:A37"/>
    <mergeCell ref="A38:A44"/>
    <mergeCell ref="A53:AM53"/>
    <mergeCell ref="A54:B56"/>
    <mergeCell ref="C54:E55"/>
    <mergeCell ref="F54:AM54"/>
    <mergeCell ref="AN54:AO55"/>
    <mergeCell ref="AP54:AQ55"/>
    <mergeCell ref="F55:G55"/>
    <mergeCell ref="H55:I55"/>
    <mergeCell ref="J55:K55"/>
    <mergeCell ref="L55:M55"/>
    <mergeCell ref="AL55:AM55"/>
    <mergeCell ref="Z55:AA55"/>
    <mergeCell ref="AB55:AC55"/>
    <mergeCell ref="AD55:AE55"/>
    <mergeCell ref="AF55:AG55"/>
    <mergeCell ref="AH55:AI55"/>
    <mergeCell ref="AJ55:AK55"/>
    <mergeCell ref="N55:O55"/>
    <mergeCell ref="P55:Q55"/>
    <mergeCell ref="R55:S55"/>
    <mergeCell ref="T55:U55"/>
    <mergeCell ref="V55:W55"/>
    <mergeCell ref="X55:Y55"/>
    <mergeCell ref="A57:A60"/>
    <mergeCell ref="A61:AM61"/>
    <mergeCell ref="A62:B64"/>
    <mergeCell ref="C62:E63"/>
    <mergeCell ref="F62:AM62"/>
    <mergeCell ref="V63:W63"/>
    <mergeCell ref="X63:Y63"/>
    <mergeCell ref="Z63:AA63"/>
    <mergeCell ref="AB63:AC63"/>
    <mergeCell ref="AD63:AE63"/>
    <mergeCell ref="AF63:AG63"/>
    <mergeCell ref="AH63:AI63"/>
    <mergeCell ref="AJ63:AK63"/>
    <mergeCell ref="AL63:AM63"/>
    <mergeCell ref="A65:A68"/>
    <mergeCell ref="AN62:AO63"/>
    <mergeCell ref="AP62:AQ63"/>
    <mergeCell ref="F63:G63"/>
    <mergeCell ref="H63:I63"/>
    <mergeCell ref="J63:K63"/>
    <mergeCell ref="L63:M63"/>
    <mergeCell ref="N63:O63"/>
    <mergeCell ref="P63:Q63"/>
    <mergeCell ref="R63:S63"/>
    <mergeCell ref="T63:U63"/>
    <mergeCell ref="A69:A71"/>
    <mergeCell ref="A73:A75"/>
    <mergeCell ref="B73:B75"/>
    <mergeCell ref="C73:E74"/>
    <mergeCell ref="F73:AM73"/>
    <mergeCell ref="AN73:AO74"/>
    <mergeCell ref="X74:Y74"/>
    <mergeCell ref="Z74:AA74"/>
    <mergeCell ref="AB74:AC74"/>
    <mergeCell ref="AD74:AE74"/>
    <mergeCell ref="A82:A84"/>
    <mergeCell ref="AF74:AG74"/>
    <mergeCell ref="AH74:AI74"/>
    <mergeCell ref="AJ74:AK74"/>
    <mergeCell ref="AL74:AM74"/>
    <mergeCell ref="A76:A78"/>
    <mergeCell ref="A79:A81"/>
    <mergeCell ref="AP73:AQ74"/>
    <mergeCell ref="F74:G74"/>
    <mergeCell ref="H74:I74"/>
    <mergeCell ref="J74:K74"/>
    <mergeCell ref="L74:M74"/>
    <mergeCell ref="N74:O74"/>
    <mergeCell ref="P74:Q74"/>
    <mergeCell ref="R74:S74"/>
    <mergeCell ref="T74:U74"/>
    <mergeCell ref="V74:W74"/>
  </mergeCells>
  <dataValidations count="4">
    <dataValidation type="whole" allowBlank="1" showInputMessage="1" showErrorMessage="1" errorTitle="Error" error="Por favor ingrese números enteros" sqref="C12:C21 C23:C24 C29:C32 C38" xr:uid="{39A6BC7E-667E-4A6F-8C18-F407C822E21F}">
      <formula1>0</formula1>
      <formula2>10000000000</formula2>
    </dataValidation>
    <dataValidation allowBlank="1" showInputMessage="1" showErrorMessage="1" errorTitle=" Error de ingreso" error="Debe ingresar sólo números enteros positivos." sqref="B57:B84 A76 A79 A82 A57 A61:A73 T52:AR52 F61:AQ64 C53:E84 F53:AQ56 AQ11:AR11 AQ1:AQ9 F48:AR49 O50:AR51 AR1:AR8 A52:A54 L51:N52 E8:E50 O52 F8:T11 AR76:AR84 A48:A50 B8:B19 C6:D6 B35:B53 C1:K5 F72:AR75 U1:AP11 L1:T6 B1:B6 A6:A45 AR53:AR71 C39:C51 C8:C11 C25:C27 C33:C37 D8:D51 G51:K51" xr:uid="{DF9CA7B4-C04A-431A-8399-14834E9A0822}"/>
    <dataValidation type="whole" operator="greaterThanOrEqual" allowBlank="1" showInputMessage="1" showErrorMessage="1" errorTitle=" Error de ingreso" error="Debe ingresar sólo números enteros positivos." sqref="C52:K52 F57:AQ60 F65:AQ71 F76:AQ84 F12:AR47" xr:uid="{8EEFFE33-DBFE-4BCC-8061-313E6ACB7746}">
      <formula1>0</formula1>
    </dataValidation>
    <dataValidation allowBlank="1" showInputMessage="1" showErrorMessage="1" errorTitle="Error de ingreso" error="Debe ingresar sólo números enteros positivos." sqref="A2:A5" xr:uid="{87A63E1C-1633-49FE-B669-D78CDE8BA87C}"/>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F617-C647-46D0-B4AC-07344808CECE}">
  <dimension ref="A1:ER111"/>
  <sheetViews>
    <sheetView tabSelected="1" zoomScaleNormal="100" workbookViewId="0"/>
  </sheetViews>
  <sheetFormatPr baseColWidth="10" defaultColWidth="11.453125" defaultRowHeight="10"/>
  <cols>
    <col min="1" max="1" width="32.26953125" style="5" customWidth="1"/>
    <col min="2" max="2" width="33.90625" style="5" customWidth="1"/>
    <col min="3" max="3" width="12.54296875" style="5" customWidth="1"/>
    <col min="4" max="4" width="10.1796875" style="5" customWidth="1"/>
    <col min="5" max="5" width="9.7265625" style="5" customWidth="1"/>
    <col min="6" max="36" width="8.81640625" style="5" customWidth="1"/>
    <col min="37" max="37" width="9.54296875" style="5" customWidth="1"/>
    <col min="38" max="38" width="16.453125" style="5" customWidth="1"/>
    <col min="39" max="39" width="22" style="5" customWidth="1"/>
    <col min="40" max="49" width="11.453125" style="5"/>
    <col min="50" max="50" width="10.81640625" style="5" customWidth="1"/>
    <col min="51" max="52" width="11.453125" style="5"/>
    <col min="53" max="78" width="16.453125" style="5" customWidth="1"/>
    <col min="79" max="124" width="16.453125" style="5" hidden="1" customWidth="1"/>
    <col min="125" max="148" width="11.453125" style="5" hidden="1" customWidth="1"/>
    <col min="149" max="16384" width="11.453125" style="5"/>
  </cols>
  <sheetData>
    <row r="1" spans="1:118" s="3" customFormat="1" ht="13.5" customHeight="1">
      <c r="A1" s="1" t="s">
        <v>0</v>
      </c>
    </row>
    <row r="2" spans="1:118" s="3" customFormat="1" ht="13.5" customHeight="1">
      <c r="A2" s="1" t="s">
        <v>449</v>
      </c>
    </row>
    <row r="3" spans="1:118" s="3" customFormat="1" ht="13.5" customHeight="1">
      <c r="A3" s="1" t="s">
        <v>450</v>
      </c>
      <c r="D3" s="672"/>
    </row>
    <row r="4" spans="1:118" s="3" customFormat="1" ht="13.5" customHeight="1">
      <c r="A4" s="1" t="s">
        <v>451</v>
      </c>
    </row>
    <row r="5" spans="1:118" s="3" customFormat="1" ht="13.5" customHeight="1">
      <c r="A5" s="1" t="s">
        <v>452</v>
      </c>
    </row>
    <row r="6" spans="1:118" s="3" customFormat="1" ht="15" customHeight="1">
      <c r="A6" s="890"/>
      <c r="Z6" s="5"/>
    </row>
    <row r="7" spans="1:118" ht="21.75" customHeight="1">
      <c r="A7" s="2094" t="s">
        <v>453</v>
      </c>
      <c r="B7" s="2094"/>
      <c r="C7" s="2094"/>
      <c r="D7" s="2094"/>
      <c r="E7" s="2094"/>
      <c r="F7" s="2094"/>
      <c r="G7" s="2094"/>
      <c r="H7" s="2094"/>
      <c r="I7" s="2094"/>
      <c r="J7" s="2094"/>
      <c r="K7" s="2094"/>
      <c r="L7" s="2094"/>
      <c r="M7" s="2094"/>
      <c r="N7" s="2094"/>
      <c r="O7" s="2094"/>
      <c r="P7" s="2094"/>
      <c r="Q7" s="2094"/>
      <c r="R7" s="2094"/>
      <c r="S7" s="2094"/>
      <c r="T7" s="2094"/>
      <c r="U7" s="2094"/>
    </row>
    <row r="8" spans="1:118" ht="17.149999999999999" customHeight="1">
      <c r="A8" s="2095" t="s">
        <v>454</v>
      </c>
      <c r="B8" s="2095"/>
      <c r="C8" s="2095"/>
      <c r="D8" s="2095"/>
      <c r="E8" s="2095"/>
      <c r="F8" s="2095"/>
      <c r="G8" s="2095"/>
      <c r="H8" s="2095"/>
      <c r="I8" s="2095"/>
      <c r="J8" s="2095"/>
      <c r="K8" s="2095"/>
      <c r="L8" s="2095"/>
      <c r="M8" s="2095"/>
      <c r="N8" s="2095"/>
      <c r="O8" s="2095"/>
      <c r="P8" s="2095"/>
      <c r="Q8" s="2095"/>
      <c r="R8" s="2095"/>
      <c r="S8" s="2095"/>
      <c r="T8" s="2095"/>
      <c r="U8" s="2095"/>
      <c r="V8" s="2095"/>
      <c r="W8" s="2095"/>
      <c r="X8" s="2095"/>
      <c r="Y8" s="2095"/>
      <c r="Z8" s="2095"/>
      <c r="AA8" s="2095"/>
      <c r="AB8" s="2095"/>
      <c r="AC8" s="2095"/>
      <c r="AD8" s="2095"/>
      <c r="AE8" s="2095"/>
      <c r="AF8" s="2095"/>
      <c r="AG8" s="2095"/>
    </row>
    <row r="9" spans="1:118" ht="13.5" customHeight="1">
      <c r="A9" s="2068" t="s">
        <v>399</v>
      </c>
      <c r="B9" s="2070"/>
      <c r="C9" s="2068" t="s">
        <v>334</v>
      </c>
      <c r="D9" s="2069"/>
      <c r="E9" s="2070"/>
      <c r="F9" s="2074" t="s">
        <v>354</v>
      </c>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6" t="s">
        <v>7</v>
      </c>
      <c r="AI9" s="2077"/>
      <c r="AJ9" s="2079" t="s">
        <v>261</v>
      </c>
      <c r="AK9" s="2080"/>
      <c r="AL9" s="891"/>
      <c r="AM9" s="617"/>
      <c r="AN9" s="617"/>
      <c r="AO9" s="617"/>
      <c r="AP9" s="617"/>
      <c r="AQ9" s="617"/>
      <c r="AR9" s="617"/>
      <c r="AS9" s="617"/>
      <c r="AT9" s="617"/>
      <c r="AU9" s="617"/>
      <c r="AV9" s="617"/>
      <c r="AW9" s="617"/>
      <c r="AX9" s="617"/>
      <c r="AY9" s="617"/>
      <c r="AZ9" s="617"/>
      <c r="CA9" s="2049"/>
      <c r="CB9" s="2049"/>
      <c r="CC9" s="2049"/>
      <c r="CD9" s="2049"/>
      <c r="CG9" s="2049"/>
      <c r="CH9" s="2049"/>
      <c r="CI9" s="2049"/>
    </row>
    <row r="10" spans="1:118" ht="18.75" customHeight="1">
      <c r="A10" s="2096"/>
      <c r="B10" s="2097"/>
      <c r="C10" s="2071"/>
      <c r="D10" s="2072"/>
      <c r="E10" s="2073"/>
      <c r="F10" s="2056" t="s">
        <v>13</v>
      </c>
      <c r="G10" s="2057"/>
      <c r="H10" s="2056" t="s">
        <v>14</v>
      </c>
      <c r="I10" s="2057"/>
      <c r="J10" s="1998" t="s">
        <v>15</v>
      </c>
      <c r="K10" s="1998"/>
      <c r="L10" s="2060" t="s">
        <v>16</v>
      </c>
      <c r="M10" s="2061"/>
      <c r="N10" s="1998" t="s">
        <v>17</v>
      </c>
      <c r="O10" s="1998"/>
      <c r="P10" s="2060" t="s">
        <v>18</v>
      </c>
      <c r="Q10" s="2061"/>
      <c r="R10" s="1998" t="s">
        <v>19</v>
      </c>
      <c r="S10" s="1998"/>
      <c r="T10" s="2060" t="s">
        <v>20</v>
      </c>
      <c r="U10" s="2061"/>
      <c r="V10" s="1998" t="s">
        <v>21</v>
      </c>
      <c r="W10" s="1998"/>
      <c r="X10" s="2060" t="s">
        <v>22</v>
      </c>
      <c r="Y10" s="2061"/>
      <c r="Z10" s="2082" t="s">
        <v>23</v>
      </c>
      <c r="AA10" s="2083"/>
      <c r="AB10" s="2082" t="s">
        <v>358</v>
      </c>
      <c r="AC10" s="2083"/>
      <c r="AD10" s="2082" t="s">
        <v>359</v>
      </c>
      <c r="AE10" s="2083"/>
      <c r="AF10" s="2082" t="s">
        <v>360</v>
      </c>
      <c r="AG10" s="2098"/>
      <c r="AH10" s="2078"/>
      <c r="AI10" s="1879"/>
      <c r="AJ10" s="2081"/>
      <c r="AK10" s="1724"/>
      <c r="AL10" s="1619"/>
      <c r="AM10" s="1619"/>
      <c r="AN10" s="617"/>
      <c r="AO10" s="617"/>
      <c r="AP10" s="617"/>
      <c r="AQ10" s="617"/>
      <c r="AR10" s="617"/>
      <c r="AS10" s="617"/>
      <c r="AT10" s="617"/>
      <c r="AU10" s="617"/>
      <c r="AV10" s="617"/>
      <c r="AW10" s="617"/>
      <c r="AX10" s="617"/>
      <c r="AY10" s="617"/>
      <c r="AZ10" s="617"/>
      <c r="CA10" s="2049"/>
      <c r="CB10" s="2049"/>
      <c r="CC10" s="2049"/>
      <c r="CD10" s="2049"/>
      <c r="CG10" s="2049"/>
      <c r="CH10" s="2049"/>
      <c r="CI10" s="2049"/>
    </row>
    <row r="11" spans="1:118" ht="23.25" customHeight="1">
      <c r="A11" s="2071"/>
      <c r="B11" s="2073"/>
      <c r="C11" s="682" t="s">
        <v>178</v>
      </c>
      <c r="D11" s="1635" t="s">
        <v>42</v>
      </c>
      <c r="E11" s="1636" t="s">
        <v>179</v>
      </c>
      <c r="F11" s="835" t="s">
        <v>42</v>
      </c>
      <c r="G11" s="1636" t="s">
        <v>179</v>
      </c>
      <c r="H11" s="835" t="s">
        <v>42</v>
      </c>
      <c r="I11" s="1636" t="s">
        <v>179</v>
      </c>
      <c r="J11" s="835" t="s">
        <v>42</v>
      </c>
      <c r="K11" s="1636" t="s">
        <v>179</v>
      </c>
      <c r="L11" s="835" t="s">
        <v>42</v>
      </c>
      <c r="M11" s="1636" t="s">
        <v>179</v>
      </c>
      <c r="N11" s="835" t="s">
        <v>42</v>
      </c>
      <c r="O11" s="1636" t="s">
        <v>179</v>
      </c>
      <c r="P11" s="835" t="s">
        <v>42</v>
      </c>
      <c r="Q11" s="1636" t="s">
        <v>179</v>
      </c>
      <c r="R11" s="835" t="s">
        <v>42</v>
      </c>
      <c r="S11" s="1636" t="s">
        <v>179</v>
      </c>
      <c r="T11" s="835" t="s">
        <v>42</v>
      </c>
      <c r="U11" s="1636" t="s">
        <v>179</v>
      </c>
      <c r="V11" s="835" t="s">
        <v>42</v>
      </c>
      <c r="W11" s="1636" t="s">
        <v>179</v>
      </c>
      <c r="X11" s="835" t="s">
        <v>42</v>
      </c>
      <c r="Y11" s="1636" t="s">
        <v>179</v>
      </c>
      <c r="Z11" s="835" t="s">
        <v>362</v>
      </c>
      <c r="AA11" s="1636" t="s">
        <v>179</v>
      </c>
      <c r="AB11" s="835" t="s">
        <v>362</v>
      </c>
      <c r="AC11" s="1636" t="s">
        <v>179</v>
      </c>
      <c r="AD11" s="835" t="s">
        <v>362</v>
      </c>
      <c r="AE11" s="1636" t="s">
        <v>179</v>
      </c>
      <c r="AF11" s="690" t="s">
        <v>362</v>
      </c>
      <c r="AG11" s="692" t="s">
        <v>179</v>
      </c>
      <c r="AH11" s="892" t="s">
        <v>42</v>
      </c>
      <c r="AI11" s="1636" t="s">
        <v>179</v>
      </c>
      <c r="AJ11" s="835" t="s">
        <v>42</v>
      </c>
      <c r="AK11" s="1636" t="s">
        <v>179</v>
      </c>
      <c r="AL11" s="893"/>
      <c r="AM11" s="893"/>
      <c r="AN11" s="617"/>
      <c r="AO11" s="617"/>
      <c r="AP11" s="617"/>
      <c r="AQ11" s="617"/>
      <c r="AR11" s="617"/>
      <c r="AS11" s="617"/>
      <c r="AT11" s="617"/>
      <c r="AU11" s="617"/>
      <c r="AV11" s="617"/>
      <c r="AW11" s="617"/>
      <c r="AX11" s="617"/>
      <c r="AY11" s="617"/>
      <c r="AZ11" s="617"/>
      <c r="CA11" s="893"/>
      <c r="CB11" s="893"/>
      <c r="CC11" s="893"/>
      <c r="CD11" s="893"/>
      <c r="CG11" s="2049"/>
      <c r="CH11" s="894"/>
      <c r="CI11" s="894"/>
    </row>
    <row r="12" spans="1:118" ht="15" customHeight="1">
      <c r="A12" s="2092" t="s">
        <v>455</v>
      </c>
      <c r="B12" s="2093"/>
      <c r="C12" s="1637">
        <f t="shared" ref="C12:C20" si="0">SUM(D12:E12)</f>
        <v>0</v>
      </c>
      <c r="D12" s="1638">
        <f>+F12+H12+J12+L12+N12+P12+R12+T12+V12+X12+Z12+AB12+AD12+AF12</f>
        <v>0</v>
      </c>
      <c r="E12" s="1639">
        <f>+G12+I12+K12+M12+O12+Q12+S12+U12+W12+Y12+AA12+AC12+AE12+AG12</f>
        <v>0</v>
      </c>
      <c r="F12" s="895">
        <f>SUM(F13:F15)</f>
        <v>0</v>
      </c>
      <c r="G12" s="1639">
        <f t="shared" ref="G12:AJ12" si="1">SUM(G13:G15)</f>
        <v>0</v>
      </c>
      <c r="H12" s="895">
        <f t="shared" si="1"/>
        <v>0</v>
      </c>
      <c r="I12" s="1639">
        <f t="shared" si="1"/>
        <v>0</v>
      </c>
      <c r="J12" s="895">
        <f t="shared" si="1"/>
        <v>0</v>
      </c>
      <c r="K12" s="1639">
        <f t="shared" si="1"/>
        <v>0</v>
      </c>
      <c r="L12" s="895">
        <f t="shared" si="1"/>
        <v>0</v>
      </c>
      <c r="M12" s="1639">
        <f t="shared" si="1"/>
        <v>0</v>
      </c>
      <c r="N12" s="895">
        <f t="shared" si="1"/>
        <v>0</v>
      </c>
      <c r="O12" s="1639">
        <f t="shared" si="1"/>
        <v>0</v>
      </c>
      <c r="P12" s="895">
        <f t="shared" si="1"/>
        <v>0</v>
      </c>
      <c r="Q12" s="1639">
        <f t="shared" si="1"/>
        <v>0</v>
      </c>
      <c r="R12" s="895">
        <f t="shared" si="1"/>
        <v>0</v>
      </c>
      <c r="S12" s="1639">
        <f t="shared" si="1"/>
        <v>0</v>
      </c>
      <c r="T12" s="895">
        <f t="shared" si="1"/>
        <v>0</v>
      </c>
      <c r="U12" s="1639">
        <f t="shared" si="1"/>
        <v>0</v>
      </c>
      <c r="V12" s="895">
        <f t="shared" si="1"/>
        <v>0</v>
      </c>
      <c r="W12" s="1639">
        <f t="shared" si="1"/>
        <v>0</v>
      </c>
      <c r="X12" s="895">
        <f t="shared" si="1"/>
        <v>0</v>
      </c>
      <c r="Y12" s="1639">
        <f t="shared" si="1"/>
        <v>0</v>
      </c>
      <c r="Z12" s="895">
        <f t="shared" si="1"/>
        <v>0</v>
      </c>
      <c r="AA12" s="1639">
        <f t="shared" si="1"/>
        <v>0</v>
      </c>
      <c r="AB12" s="895">
        <f t="shared" si="1"/>
        <v>0</v>
      </c>
      <c r="AC12" s="1639">
        <f t="shared" si="1"/>
        <v>0</v>
      </c>
      <c r="AD12" s="895">
        <f t="shared" si="1"/>
        <v>0</v>
      </c>
      <c r="AE12" s="1639">
        <f t="shared" si="1"/>
        <v>0</v>
      </c>
      <c r="AF12" s="895">
        <f t="shared" si="1"/>
        <v>0</v>
      </c>
      <c r="AG12" s="1640">
        <f t="shared" si="1"/>
        <v>0</v>
      </c>
      <c r="AH12" s="896">
        <f>SUM(AH13:AH15)</f>
        <v>0</v>
      </c>
      <c r="AI12" s="1639">
        <f>SUM(AI13:AI15)</f>
        <v>0</v>
      </c>
      <c r="AJ12" s="895">
        <f t="shared" si="1"/>
        <v>0</v>
      </c>
      <c r="AK12" s="1639">
        <f>SUM(AK13:AK15)</f>
        <v>0</v>
      </c>
      <c r="AL12" s="7"/>
      <c r="AM12" s="680"/>
    </row>
    <row r="13" spans="1:118" ht="15" customHeight="1">
      <c r="A13" s="2085" t="s">
        <v>456</v>
      </c>
      <c r="B13" s="897" t="s">
        <v>457</v>
      </c>
      <c r="C13" s="952">
        <f t="shared" si="0"/>
        <v>0</v>
      </c>
      <c r="D13" s="740">
        <f>+F13+H13+J13+L13+N13+P13+R13+T13+V13+X13+Z13+AB13+AD13+AF13</f>
        <v>0</v>
      </c>
      <c r="E13" s="898">
        <f>+G13+I13+K13+M13+O13+Q13+S13+U13+W13+Y13+AA13+AC13+AE13+AG13</f>
        <v>0</v>
      </c>
      <c r="F13" s="699"/>
      <c r="G13" s="700"/>
      <c r="H13" s="699"/>
      <c r="I13" s="700"/>
      <c r="J13" s="699"/>
      <c r="K13" s="700"/>
      <c r="L13" s="699"/>
      <c r="M13" s="700"/>
      <c r="N13" s="699"/>
      <c r="O13" s="700"/>
      <c r="P13" s="699"/>
      <c r="Q13" s="700"/>
      <c r="R13" s="699"/>
      <c r="S13" s="700"/>
      <c r="T13" s="699"/>
      <c r="U13" s="700"/>
      <c r="V13" s="699"/>
      <c r="W13" s="700"/>
      <c r="X13" s="699"/>
      <c r="Y13" s="700"/>
      <c r="Z13" s="699"/>
      <c r="AA13" s="700"/>
      <c r="AB13" s="699"/>
      <c r="AC13" s="700"/>
      <c r="AD13" s="699"/>
      <c r="AE13" s="700"/>
      <c r="AF13" s="699"/>
      <c r="AG13" s="730"/>
      <c r="AH13" s="705"/>
      <c r="AI13" s="783"/>
      <c r="AJ13" s="699"/>
      <c r="AK13" s="783"/>
      <c r="AL13" s="7" t="s">
        <v>204</v>
      </c>
      <c r="AM13" s="680"/>
      <c r="CA13" s="142" t="str">
        <f>IF(AND(D13&gt;0,OR(AH13=""))," * No olvide digitar la variable Pueblos Originarios Hombres. Digite Cero si no tiene.",IF(AH13&gt;D13," * La variable Pueblos Originarios Hombres no puede ser Mayor al Total Hombres.",""))</f>
        <v/>
      </c>
      <c r="CB13" s="142" t="str">
        <f>IF(AND(E13&gt;0,OR(AI13=""))," * No olvide digitar la variable Pueblos Originarios Mujeres. Digite Cero si no tiene.",IF(AI13&gt;E13," * La variable Pueblos Originarios Mujeres no puede ser Mayor al Total Mujeres.",""))</f>
        <v/>
      </c>
      <c r="CC13" s="142" t="str">
        <f>IF(AND($D13&gt;0,OR(AJ13=""))," * No olvide digitar la variable Migrantes Hombres. Digite Cero si no tiene.",IF(AJ13&gt;$D13," * La variable Migrantes Hombres no puede ser Mayor al Total Hombres.",""))</f>
        <v/>
      </c>
      <c r="CD13" s="142" t="str">
        <f>IF(AND(E13&gt;0,OR(AK13=""))," * No olvide digitar la variable Migrantes Mujeres. Digite Cero si no tiene.",IF(AK13&gt;E13," * La variable Migrantes Mujeres no puede ser Mayor al Total Mujeres.",""))</f>
        <v/>
      </c>
      <c r="DK13" s="34">
        <f t="shared" ref="DK13:DL23" si="2">IF(AND(D13&gt;0,OR(AH13="")),1,IF(AH13&gt;D13,1,0))</f>
        <v>0</v>
      </c>
      <c r="DL13" s="34">
        <f t="shared" si="2"/>
        <v>0</v>
      </c>
      <c r="DM13" s="34">
        <f t="shared" ref="DM13:DN23" si="3">IF(AND(D13&gt;0,OR(AJ13="")),1,IF(AJ13&gt;D13,1,0))</f>
        <v>0</v>
      </c>
      <c r="DN13" s="34">
        <f t="shared" si="3"/>
        <v>0</v>
      </c>
    </row>
    <row r="14" spans="1:118" ht="15" customHeight="1">
      <c r="A14" s="2040"/>
      <c r="B14" s="899" t="s">
        <v>365</v>
      </c>
      <c r="C14" s="953">
        <f t="shared" si="0"/>
        <v>0</v>
      </c>
      <c r="D14" s="707">
        <f t="shared" ref="D14:E18" si="4">+F14+H14+J14+L14+N14+P14+R14+T14+V14+X14+Z14+AB14+AD14+AF14</f>
        <v>0</v>
      </c>
      <c r="E14" s="787">
        <f t="shared" si="4"/>
        <v>0</v>
      </c>
      <c r="F14" s="751"/>
      <c r="G14" s="752"/>
      <c r="H14" s="751"/>
      <c r="I14" s="752"/>
      <c r="J14" s="751"/>
      <c r="K14" s="752"/>
      <c r="L14" s="751"/>
      <c r="M14" s="752"/>
      <c r="N14" s="751"/>
      <c r="O14" s="752"/>
      <c r="P14" s="751"/>
      <c r="Q14" s="752"/>
      <c r="R14" s="751"/>
      <c r="S14" s="752"/>
      <c r="T14" s="751"/>
      <c r="U14" s="752"/>
      <c r="V14" s="751"/>
      <c r="W14" s="752"/>
      <c r="X14" s="751"/>
      <c r="Y14" s="752"/>
      <c r="Z14" s="751"/>
      <c r="AA14" s="752"/>
      <c r="AB14" s="751"/>
      <c r="AC14" s="752"/>
      <c r="AD14" s="751"/>
      <c r="AE14" s="752"/>
      <c r="AF14" s="751"/>
      <c r="AG14" s="753"/>
      <c r="AH14" s="717"/>
      <c r="AI14" s="900"/>
      <c r="AJ14" s="709"/>
      <c r="AK14" s="900"/>
      <c r="AL14" s="7" t="s">
        <v>204</v>
      </c>
      <c r="AM14" s="680"/>
      <c r="CA14" s="142" t="str">
        <f t="shared" ref="CA14:CA23" si="5">IF(AND(D14&gt;0,OR(AH14=""))," * No olvide digitar la variable Pueblos Originarios Hombres. Digite Cero si no tiene.",IF(AH14&gt;D14," * La variable Pueblos Originarios Hombres no puede ser Mayor al Total Hombres.",""))</f>
        <v/>
      </c>
      <c r="CB14" s="142" t="str">
        <f t="shared" ref="CB14:CB23" si="6">IF(AND(E14&gt;0,OR(AI14=""))," * No olvide digitar la variable Pueblos Originarios Mujeres. Digite Cero si no tiene.",IF(AI14&gt;E14," * La variable Pueblos Originarios Mujeres no puede ser Mayor al Total Mujeres.",""))</f>
        <v/>
      </c>
      <c r="CC14" s="142" t="str">
        <f t="shared" ref="CC14:CC23" si="7">IF(AND($D14&gt;0,OR(AJ14=""))," * No olvide digitar la variable Migrantes Hombres. Digite Cero si no tiene.",IF(AJ14&gt;$D14," * La variable Migrantes Hombres no puede ser Mayor al Total Hombres.",""))</f>
        <v/>
      </c>
      <c r="CD14" s="142" t="str">
        <f t="shared" ref="CD14:CD23" si="8">IF(AND(E14&gt;0,OR(AK14=""))," * No olvide digitar la variable Migrantes Mujeres. Digite Cero si no tiene.",IF(AK14&gt;E14," * La variable Migrantes Mujeres no puede ser Mayor al Total Mujeres.",""))</f>
        <v/>
      </c>
      <c r="DK14" s="34">
        <f t="shared" si="2"/>
        <v>0</v>
      </c>
      <c r="DL14" s="34">
        <f t="shared" si="2"/>
        <v>0</v>
      </c>
      <c r="DM14" s="34">
        <f t="shared" si="3"/>
        <v>0</v>
      </c>
      <c r="DN14" s="34">
        <f t="shared" si="3"/>
        <v>0</v>
      </c>
    </row>
    <row r="15" spans="1:118" ht="15" customHeight="1">
      <c r="A15" s="2041"/>
      <c r="B15" s="901" t="s">
        <v>458</v>
      </c>
      <c r="C15" s="953">
        <f t="shared" si="0"/>
        <v>0</v>
      </c>
      <c r="D15" s="733">
        <f t="shared" si="4"/>
        <v>0</v>
      </c>
      <c r="E15" s="902">
        <f t="shared" si="4"/>
        <v>0</v>
      </c>
      <c r="F15" s="748"/>
      <c r="G15" s="749"/>
      <c r="H15" s="748"/>
      <c r="I15" s="749"/>
      <c r="J15" s="748"/>
      <c r="K15" s="749"/>
      <c r="L15" s="748"/>
      <c r="M15" s="749"/>
      <c r="N15" s="748"/>
      <c r="O15" s="749"/>
      <c r="P15" s="748"/>
      <c r="Q15" s="749"/>
      <c r="R15" s="748"/>
      <c r="S15" s="749"/>
      <c r="T15" s="748"/>
      <c r="U15" s="749"/>
      <c r="V15" s="748"/>
      <c r="W15" s="749"/>
      <c r="X15" s="748"/>
      <c r="Y15" s="749"/>
      <c r="Z15" s="748"/>
      <c r="AA15" s="749"/>
      <c r="AB15" s="748"/>
      <c r="AC15" s="749"/>
      <c r="AD15" s="748"/>
      <c r="AE15" s="749"/>
      <c r="AF15" s="748"/>
      <c r="AG15" s="750"/>
      <c r="AH15" s="738"/>
      <c r="AI15" s="850"/>
      <c r="AJ15" s="722"/>
      <c r="AK15" s="850"/>
      <c r="AL15" s="7" t="s">
        <v>204</v>
      </c>
      <c r="AM15" s="680"/>
      <c r="CA15" s="142" t="str">
        <f t="shared" si="5"/>
        <v/>
      </c>
      <c r="CB15" s="142" t="str">
        <f t="shared" si="6"/>
        <v/>
      </c>
      <c r="CC15" s="142" t="str">
        <f t="shared" si="7"/>
        <v/>
      </c>
      <c r="CD15" s="142" t="str">
        <f t="shared" si="8"/>
        <v/>
      </c>
      <c r="DK15" s="34">
        <f t="shared" si="2"/>
        <v>0</v>
      </c>
      <c r="DL15" s="34">
        <f t="shared" si="2"/>
        <v>0</v>
      </c>
      <c r="DM15" s="34">
        <f t="shared" si="3"/>
        <v>0</v>
      </c>
      <c r="DN15" s="34">
        <f t="shared" si="3"/>
        <v>0</v>
      </c>
    </row>
    <row r="16" spans="1:118" ht="15" customHeight="1">
      <c r="A16" s="2085" t="s">
        <v>459</v>
      </c>
      <c r="B16" s="903" t="s">
        <v>272</v>
      </c>
      <c r="C16" s="954">
        <f t="shared" si="0"/>
        <v>0</v>
      </c>
      <c r="D16" s="697">
        <f t="shared" si="4"/>
        <v>0</v>
      </c>
      <c r="E16" s="904">
        <f t="shared" si="4"/>
        <v>0</v>
      </c>
      <c r="F16" s="699"/>
      <c r="G16" s="700"/>
      <c r="H16" s="699"/>
      <c r="I16" s="700"/>
      <c r="J16" s="699"/>
      <c r="K16" s="700"/>
      <c r="L16" s="699"/>
      <c r="M16" s="700"/>
      <c r="N16" s="699"/>
      <c r="O16" s="700"/>
      <c r="P16" s="699"/>
      <c r="Q16" s="700"/>
      <c r="R16" s="699"/>
      <c r="S16" s="700"/>
      <c r="T16" s="699"/>
      <c r="U16" s="700"/>
      <c r="V16" s="699"/>
      <c r="W16" s="700"/>
      <c r="X16" s="699"/>
      <c r="Y16" s="700"/>
      <c r="Z16" s="699"/>
      <c r="AA16" s="700"/>
      <c r="AB16" s="699"/>
      <c r="AC16" s="700"/>
      <c r="AD16" s="699"/>
      <c r="AE16" s="700"/>
      <c r="AF16" s="699"/>
      <c r="AG16" s="730"/>
      <c r="AH16" s="705"/>
      <c r="AI16" s="783"/>
      <c r="AJ16" s="699"/>
      <c r="AK16" s="783"/>
      <c r="AL16" s="7" t="s">
        <v>204</v>
      </c>
      <c r="AM16" s="680"/>
      <c r="CA16" s="142" t="str">
        <f t="shared" si="5"/>
        <v/>
      </c>
      <c r="CB16" s="142" t="str">
        <f t="shared" si="6"/>
        <v/>
      </c>
      <c r="CC16" s="142" t="str">
        <f t="shared" si="7"/>
        <v/>
      </c>
      <c r="CD16" s="142" t="str">
        <f t="shared" si="8"/>
        <v/>
      </c>
      <c r="DK16" s="34">
        <f t="shared" si="2"/>
        <v>0</v>
      </c>
      <c r="DL16" s="34">
        <f t="shared" si="2"/>
        <v>0</v>
      </c>
      <c r="DM16" s="34">
        <f t="shared" si="3"/>
        <v>0</v>
      </c>
      <c r="DN16" s="34">
        <f t="shared" si="3"/>
        <v>0</v>
      </c>
    </row>
    <row r="17" spans="1:148" ht="15" customHeight="1">
      <c r="A17" s="2040"/>
      <c r="B17" s="905" t="s">
        <v>460</v>
      </c>
      <c r="C17" s="954">
        <f t="shared" si="0"/>
        <v>0</v>
      </c>
      <c r="D17" s="707">
        <f t="shared" si="4"/>
        <v>0</v>
      </c>
      <c r="E17" s="906">
        <f t="shared" si="4"/>
        <v>0</v>
      </c>
      <c r="F17" s="709"/>
      <c r="G17" s="710"/>
      <c r="H17" s="709"/>
      <c r="I17" s="710"/>
      <c r="J17" s="709"/>
      <c r="K17" s="710"/>
      <c r="L17" s="709"/>
      <c r="M17" s="710"/>
      <c r="N17" s="709"/>
      <c r="O17" s="710"/>
      <c r="P17" s="709"/>
      <c r="Q17" s="710"/>
      <c r="R17" s="709"/>
      <c r="S17" s="710"/>
      <c r="T17" s="709"/>
      <c r="U17" s="710"/>
      <c r="V17" s="709"/>
      <c r="W17" s="710"/>
      <c r="X17" s="709"/>
      <c r="Y17" s="710"/>
      <c r="Z17" s="709"/>
      <c r="AA17" s="710"/>
      <c r="AB17" s="709"/>
      <c r="AC17" s="710"/>
      <c r="AD17" s="709"/>
      <c r="AE17" s="710"/>
      <c r="AF17" s="709"/>
      <c r="AG17" s="731"/>
      <c r="AH17" s="717"/>
      <c r="AI17" s="900"/>
      <c r="AJ17" s="735"/>
      <c r="AK17" s="900"/>
      <c r="AL17" s="7" t="s">
        <v>204</v>
      </c>
      <c r="AM17" s="680"/>
      <c r="CA17" s="142" t="str">
        <f t="shared" si="5"/>
        <v/>
      </c>
      <c r="CB17" s="142" t="str">
        <f t="shared" si="6"/>
        <v/>
      </c>
      <c r="CC17" s="142" t="str">
        <f t="shared" si="7"/>
        <v/>
      </c>
      <c r="CD17" s="142" t="str">
        <f t="shared" si="8"/>
        <v/>
      </c>
      <c r="DK17" s="34">
        <f t="shared" si="2"/>
        <v>0</v>
      </c>
      <c r="DL17" s="34">
        <f t="shared" si="2"/>
        <v>0</v>
      </c>
      <c r="DM17" s="34">
        <f t="shared" si="3"/>
        <v>0</v>
      </c>
      <c r="DN17" s="34">
        <f t="shared" si="3"/>
        <v>0</v>
      </c>
    </row>
    <row r="18" spans="1:148" ht="15" customHeight="1">
      <c r="A18" s="2040"/>
      <c r="B18" s="905" t="s">
        <v>461</v>
      </c>
      <c r="C18" s="954">
        <f t="shared" si="0"/>
        <v>0</v>
      </c>
      <c r="D18" s="707">
        <f t="shared" si="4"/>
        <v>0</v>
      </c>
      <c r="E18" s="906">
        <f t="shared" si="4"/>
        <v>0</v>
      </c>
      <c r="F18" s="709"/>
      <c r="G18" s="710"/>
      <c r="H18" s="709"/>
      <c r="I18" s="710"/>
      <c r="J18" s="709"/>
      <c r="K18" s="710"/>
      <c r="L18" s="709"/>
      <c r="M18" s="710"/>
      <c r="N18" s="709"/>
      <c r="O18" s="710"/>
      <c r="P18" s="709"/>
      <c r="Q18" s="710"/>
      <c r="R18" s="709"/>
      <c r="S18" s="710"/>
      <c r="T18" s="709"/>
      <c r="U18" s="710"/>
      <c r="V18" s="709"/>
      <c r="W18" s="710"/>
      <c r="X18" s="709"/>
      <c r="Y18" s="710"/>
      <c r="Z18" s="709"/>
      <c r="AA18" s="710"/>
      <c r="AB18" s="709"/>
      <c r="AC18" s="710"/>
      <c r="AD18" s="709"/>
      <c r="AE18" s="710"/>
      <c r="AF18" s="709"/>
      <c r="AG18" s="731"/>
      <c r="AH18" s="717"/>
      <c r="AI18" s="900"/>
      <c r="AJ18" s="709"/>
      <c r="AK18" s="900"/>
      <c r="AL18" s="7" t="s">
        <v>204</v>
      </c>
      <c r="AM18" s="680"/>
      <c r="CA18" s="142" t="str">
        <f t="shared" si="5"/>
        <v/>
      </c>
      <c r="CB18" s="142" t="str">
        <f t="shared" si="6"/>
        <v/>
      </c>
      <c r="CC18" s="142" t="str">
        <f t="shared" si="7"/>
        <v/>
      </c>
      <c r="CD18" s="142" t="str">
        <f t="shared" si="8"/>
        <v/>
      </c>
      <c r="DK18" s="34">
        <f t="shared" si="2"/>
        <v>0</v>
      </c>
      <c r="DL18" s="34">
        <f t="shared" si="2"/>
        <v>0</v>
      </c>
      <c r="DM18" s="34">
        <f t="shared" si="3"/>
        <v>0</v>
      </c>
      <c r="DN18" s="34">
        <f t="shared" si="3"/>
        <v>0</v>
      </c>
    </row>
    <row r="19" spans="1:148" ht="15" customHeight="1">
      <c r="A19" s="2040"/>
      <c r="B19" s="956" t="s">
        <v>462</v>
      </c>
      <c r="C19" s="955">
        <f t="shared" si="0"/>
        <v>0</v>
      </c>
      <c r="D19" s="707">
        <f>+V19+X19+Z19+AB19+AD19+AF19</f>
        <v>0</v>
      </c>
      <c r="E19" s="906">
        <f>+W19+Y19+AA19+AC19+AE19+AG19</f>
        <v>0</v>
      </c>
      <c r="F19" s="713"/>
      <c r="G19" s="712"/>
      <c r="H19" s="713"/>
      <c r="I19" s="712"/>
      <c r="J19" s="713"/>
      <c r="K19" s="712"/>
      <c r="L19" s="713"/>
      <c r="M19" s="712"/>
      <c r="N19" s="713"/>
      <c r="O19" s="712"/>
      <c r="P19" s="713"/>
      <c r="Q19" s="712"/>
      <c r="R19" s="713"/>
      <c r="S19" s="712"/>
      <c r="T19" s="713"/>
      <c r="U19" s="712"/>
      <c r="V19" s="751"/>
      <c r="W19" s="752"/>
      <c r="X19" s="751"/>
      <c r="Y19" s="752"/>
      <c r="Z19" s="751"/>
      <c r="AA19" s="752"/>
      <c r="AB19" s="751"/>
      <c r="AC19" s="752"/>
      <c r="AD19" s="751"/>
      <c r="AE19" s="752"/>
      <c r="AF19" s="751"/>
      <c r="AG19" s="753"/>
      <c r="AH19" s="717"/>
      <c r="AI19" s="900"/>
      <c r="AJ19" s="735"/>
      <c r="AK19" s="900"/>
      <c r="AL19" s="7" t="s">
        <v>204</v>
      </c>
      <c r="AM19" s="680"/>
      <c r="CA19" s="142" t="str">
        <f t="shared" si="5"/>
        <v/>
      </c>
      <c r="CB19" s="142" t="str">
        <f t="shared" si="6"/>
        <v/>
      </c>
      <c r="CC19" s="142" t="str">
        <f t="shared" si="7"/>
        <v/>
      </c>
      <c r="CD19" s="142" t="str">
        <f t="shared" si="8"/>
        <v/>
      </c>
      <c r="DK19" s="34">
        <f t="shared" si="2"/>
        <v>0</v>
      </c>
      <c r="DL19" s="34">
        <f t="shared" si="2"/>
        <v>0</v>
      </c>
      <c r="DM19" s="34">
        <f t="shared" si="3"/>
        <v>0</v>
      </c>
      <c r="DN19" s="34">
        <f t="shared" si="3"/>
        <v>0</v>
      </c>
    </row>
    <row r="20" spans="1:148" ht="15" customHeight="1">
      <c r="A20" s="2040"/>
      <c r="B20" s="957" t="s">
        <v>463</v>
      </c>
      <c r="C20" s="955">
        <f t="shared" si="0"/>
        <v>0</v>
      </c>
      <c r="D20" s="720">
        <f t="shared" ref="D20:E23" si="9">+F20+H20+J20+L20+N20+P20+R20+T20+V20+X20+Z20+AB20+AD20+AF20</f>
        <v>0</v>
      </c>
      <c r="E20" s="907">
        <f t="shared" si="9"/>
        <v>0</v>
      </c>
      <c r="F20" s="709"/>
      <c r="G20" s="710"/>
      <c r="H20" s="709"/>
      <c r="I20" s="710"/>
      <c r="J20" s="709"/>
      <c r="K20" s="710"/>
      <c r="L20" s="709"/>
      <c r="M20" s="710"/>
      <c r="N20" s="709"/>
      <c r="O20" s="710"/>
      <c r="P20" s="709"/>
      <c r="Q20" s="710"/>
      <c r="R20" s="709"/>
      <c r="S20" s="710"/>
      <c r="T20" s="709"/>
      <c r="U20" s="710"/>
      <c r="V20" s="709"/>
      <c r="W20" s="710"/>
      <c r="X20" s="709"/>
      <c r="Y20" s="710"/>
      <c r="Z20" s="709"/>
      <c r="AA20" s="710"/>
      <c r="AB20" s="709"/>
      <c r="AC20" s="710"/>
      <c r="AD20" s="709"/>
      <c r="AE20" s="710"/>
      <c r="AF20" s="709"/>
      <c r="AG20" s="731"/>
      <c r="AH20" s="717"/>
      <c r="AI20" s="900"/>
      <c r="AJ20" s="709"/>
      <c r="AK20" s="900"/>
      <c r="AL20" s="7" t="s">
        <v>204</v>
      </c>
      <c r="AM20" s="680"/>
      <c r="CA20" s="142" t="str">
        <f t="shared" si="5"/>
        <v/>
      </c>
      <c r="CB20" s="142" t="str">
        <f t="shared" si="6"/>
        <v/>
      </c>
      <c r="CC20" s="142" t="str">
        <f t="shared" si="7"/>
        <v/>
      </c>
      <c r="CD20" s="142" t="str">
        <f t="shared" si="8"/>
        <v/>
      </c>
      <c r="DK20" s="34">
        <f t="shared" si="2"/>
        <v>0</v>
      </c>
      <c r="DL20" s="34">
        <f t="shared" si="2"/>
        <v>0</v>
      </c>
      <c r="DM20" s="34">
        <f t="shared" si="3"/>
        <v>0</v>
      </c>
      <c r="DN20" s="34">
        <f t="shared" si="3"/>
        <v>0</v>
      </c>
    </row>
    <row r="21" spans="1:148" ht="15" customHeight="1">
      <c r="A21" s="2040"/>
      <c r="B21" s="956" t="s">
        <v>464</v>
      </c>
      <c r="C21" s="955">
        <f>SUM(D21:E21)</f>
        <v>0</v>
      </c>
      <c r="D21" s="707">
        <f t="shared" si="9"/>
        <v>0</v>
      </c>
      <c r="E21" s="906">
        <f t="shared" si="9"/>
        <v>0</v>
      </c>
      <c r="F21" s="709"/>
      <c r="G21" s="710"/>
      <c r="H21" s="709"/>
      <c r="I21" s="710"/>
      <c r="J21" s="709"/>
      <c r="K21" s="710"/>
      <c r="L21" s="709"/>
      <c r="M21" s="710"/>
      <c r="N21" s="709"/>
      <c r="O21" s="710"/>
      <c r="P21" s="709"/>
      <c r="Q21" s="710"/>
      <c r="R21" s="709"/>
      <c r="S21" s="710"/>
      <c r="T21" s="709"/>
      <c r="U21" s="710"/>
      <c r="V21" s="709"/>
      <c r="W21" s="710"/>
      <c r="X21" s="709"/>
      <c r="Y21" s="710"/>
      <c r="Z21" s="709"/>
      <c r="AA21" s="710"/>
      <c r="AB21" s="709"/>
      <c r="AC21" s="710"/>
      <c r="AD21" s="709"/>
      <c r="AE21" s="710"/>
      <c r="AF21" s="709"/>
      <c r="AG21" s="731"/>
      <c r="AH21" s="717"/>
      <c r="AI21" s="900"/>
      <c r="AJ21" s="709"/>
      <c r="AK21" s="900"/>
      <c r="AL21" s="7" t="s">
        <v>204</v>
      </c>
      <c r="AM21" s="680"/>
      <c r="CA21" s="142" t="str">
        <f t="shared" si="5"/>
        <v/>
      </c>
      <c r="CB21" s="142" t="str">
        <f t="shared" si="6"/>
        <v/>
      </c>
      <c r="CC21" s="142" t="str">
        <f t="shared" si="7"/>
        <v/>
      </c>
      <c r="CD21" s="142" t="str">
        <f t="shared" si="8"/>
        <v/>
      </c>
      <c r="DK21" s="34">
        <f t="shared" si="2"/>
        <v>0</v>
      </c>
      <c r="DL21" s="34">
        <f t="shared" si="2"/>
        <v>0</v>
      </c>
      <c r="DM21" s="34">
        <f t="shared" si="3"/>
        <v>0</v>
      </c>
      <c r="DN21" s="34">
        <f t="shared" si="3"/>
        <v>0</v>
      </c>
    </row>
    <row r="22" spans="1:148" ht="22.5" customHeight="1">
      <c r="A22" s="2040"/>
      <c r="B22" s="2458" t="s">
        <v>465</v>
      </c>
      <c r="C22" s="2459"/>
      <c r="D22" s="720">
        <f t="shared" si="9"/>
        <v>0</v>
      </c>
      <c r="E22" s="907">
        <f t="shared" si="9"/>
        <v>0</v>
      </c>
      <c r="F22" s="908"/>
      <c r="G22" s="909"/>
      <c r="H22" s="908"/>
      <c r="I22" s="909"/>
      <c r="J22" s="908"/>
      <c r="K22" s="909"/>
      <c r="L22" s="908"/>
      <c r="M22" s="909"/>
      <c r="N22" s="908"/>
      <c r="O22" s="909"/>
      <c r="P22" s="908"/>
      <c r="Q22" s="909"/>
      <c r="R22" s="908"/>
      <c r="S22" s="909"/>
      <c r="T22" s="908"/>
      <c r="U22" s="909"/>
      <c r="V22" s="908"/>
      <c r="W22" s="909"/>
      <c r="X22" s="908"/>
      <c r="Y22" s="909"/>
      <c r="Z22" s="908"/>
      <c r="AA22" s="909"/>
      <c r="AB22" s="908"/>
      <c r="AC22" s="909"/>
      <c r="AD22" s="908"/>
      <c r="AE22" s="909"/>
      <c r="AF22" s="908"/>
      <c r="AG22" s="910"/>
      <c r="AH22" s="911"/>
      <c r="AI22" s="912"/>
      <c r="AJ22" s="908"/>
      <c r="AK22" s="912"/>
      <c r="AL22" s="7" t="s">
        <v>204</v>
      </c>
      <c r="AM22" s="680"/>
      <c r="CA22" s="142" t="str">
        <f t="shared" si="5"/>
        <v/>
      </c>
      <c r="CB22" s="142" t="str">
        <f t="shared" si="6"/>
        <v/>
      </c>
      <c r="CC22" s="142" t="str">
        <f t="shared" si="7"/>
        <v/>
      </c>
      <c r="CD22" s="142" t="str">
        <f t="shared" si="8"/>
        <v/>
      </c>
      <c r="DK22" s="34">
        <f t="shared" si="2"/>
        <v>0</v>
      </c>
      <c r="DL22" s="34">
        <f t="shared" si="2"/>
        <v>0</v>
      </c>
      <c r="DM22" s="34">
        <f t="shared" si="3"/>
        <v>0</v>
      </c>
      <c r="DN22" s="34">
        <f t="shared" si="3"/>
        <v>0</v>
      </c>
    </row>
    <row r="23" spans="1:148" ht="15" customHeight="1">
      <c r="A23" s="2041"/>
      <c r="B23" s="2460" t="s">
        <v>466</v>
      </c>
      <c r="C23" s="1643">
        <f t="shared" ref="C23" si="10">SUM(D23:E23)</f>
        <v>0</v>
      </c>
      <c r="D23" s="733">
        <f t="shared" si="9"/>
        <v>0</v>
      </c>
      <c r="E23" s="902">
        <f t="shared" si="9"/>
        <v>0</v>
      </c>
      <c r="F23" s="722"/>
      <c r="G23" s="723"/>
      <c r="H23" s="722"/>
      <c r="I23" s="723"/>
      <c r="J23" s="722"/>
      <c r="K23" s="723"/>
      <c r="L23" s="722"/>
      <c r="M23" s="723"/>
      <c r="N23" s="722"/>
      <c r="O23" s="723"/>
      <c r="P23" s="722"/>
      <c r="Q23" s="723"/>
      <c r="R23" s="722"/>
      <c r="S23" s="723"/>
      <c r="T23" s="722"/>
      <c r="U23" s="723"/>
      <c r="V23" s="722"/>
      <c r="W23" s="723"/>
      <c r="X23" s="722"/>
      <c r="Y23" s="723"/>
      <c r="Z23" s="722"/>
      <c r="AA23" s="723"/>
      <c r="AB23" s="722"/>
      <c r="AC23" s="723"/>
      <c r="AD23" s="722"/>
      <c r="AE23" s="723"/>
      <c r="AF23" s="722"/>
      <c r="AG23" s="762"/>
      <c r="AH23" s="738"/>
      <c r="AI23" s="850"/>
      <c r="AJ23" s="722"/>
      <c r="AK23" s="850"/>
      <c r="AL23" s="7" t="s">
        <v>204</v>
      </c>
      <c r="AM23" s="680"/>
      <c r="CA23" s="142" t="str">
        <f t="shared" si="5"/>
        <v/>
      </c>
      <c r="CB23" s="142" t="str">
        <f t="shared" si="6"/>
        <v/>
      </c>
      <c r="CC23" s="142" t="str">
        <f t="shared" si="7"/>
        <v/>
      </c>
      <c r="CD23" s="142" t="str">
        <f t="shared" si="8"/>
        <v/>
      </c>
      <c r="DK23" s="34">
        <f t="shared" si="2"/>
        <v>0</v>
      </c>
      <c r="DL23" s="34">
        <f t="shared" si="2"/>
        <v>0</v>
      </c>
      <c r="DM23" s="34">
        <f t="shared" si="3"/>
        <v>0</v>
      </c>
      <c r="DN23" s="34">
        <f t="shared" si="3"/>
        <v>0</v>
      </c>
    </row>
    <row r="24" spans="1:148" ht="17.149999999999999" customHeight="1">
      <c r="A24" s="2089" t="s">
        <v>467</v>
      </c>
      <c r="B24" s="2089"/>
      <c r="C24" s="913"/>
      <c r="D24" s="914"/>
      <c r="E24" s="914"/>
      <c r="F24" s="914"/>
      <c r="G24" s="914"/>
      <c r="H24" s="914"/>
      <c r="I24" s="914"/>
      <c r="J24" s="914"/>
      <c r="K24" s="914"/>
      <c r="L24" s="914"/>
      <c r="M24" s="914"/>
      <c r="N24" s="914"/>
      <c r="O24" s="914"/>
      <c r="P24" s="915"/>
      <c r="Q24" s="915"/>
      <c r="R24" s="915"/>
      <c r="S24" s="915"/>
      <c r="T24" s="602"/>
    </row>
    <row r="25" spans="1:148" ht="16.5" customHeight="1">
      <c r="A25" s="2085" t="s">
        <v>399</v>
      </c>
      <c r="B25" s="2085"/>
      <c r="C25" s="2068" t="s">
        <v>334</v>
      </c>
      <c r="D25" s="2069"/>
      <c r="E25" s="2070"/>
      <c r="F25" s="2074" t="s">
        <v>354</v>
      </c>
      <c r="G25" s="2075"/>
      <c r="H25" s="2075"/>
      <c r="I25" s="2075"/>
      <c r="J25" s="2075"/>
      <c r="K25" s="2075"/>
      <c r="L25" s="2075"/>
      <c r="M25" s="2075"/>
      <c r="N25" s="2075"/>
      <c r="O25" s="2075"/>
      <c r="P25" s="2075"/>
      <c r="Q25" s="2075"/>
      <c r="R25" s="2075"/>
      <c r="S25" s="2075"/>
      <c r="T25" s="2075"/>
      <c r="U25" s="2075"/>
      <c r="V25" s="2075"/>
      <c r="W25" s="2075"/>
      <c r="X25" s="2075"/>
      <c r="Y25" s="2075"/>
      <c r="Z25" s="2075"/>
      <c r="AA25" s="2075"/>
      <c r="AB25" s="2075"/>
      <c r="AC25" s="2075"/>
      <c r="AD25" s="2075"/>
      <c r="AE25" s="2075"/>
      <c r="AF25" s="2075"/>
      <c r="AG25" s="2090"/>
      <c r="AH25" s="2076" t="s">
        <v>7</v>
      </c>
      <c r="AI25" s="2077"/>
      <c r="AJ25" s="2079" t="s">
        <v>261</v>
      </c>
      <c r="AK25" s="2080"/>
    </row>
    <row r="26" spans="1:148" ht="18" customHeight="1">
      <c r="A26" s="2040"/>
      <c r="B26" s="2040"/>
      <c r="C26" s="2071"/>
      <c r="D26" s="2072"/>
      <c r="E26" s="2073"/>
      <c r="F26" s="2056" t="s">
        <v>13</v>
      </c>
      <c r="G26" s="2057"/>
      <c r="H26" s="2058" t="s">
        <v>14</v>
      </c>
      <c r="I26" s="2059"/>
      <c r="J26" s="1998" t="s">
        <v>15</v>
      </c>
      <c r="K26" s="1998"/>
      <c r="L26" s="2060" t="s">
        <v>16</v>
      </c>
      <c r="M26" s="2061"/>
      <c r="N26" s="1998" t="s">
        <v>17</v>
      </c>
      <c r="O26" s="1998"/>
      <c r="P26" s="2060" t="s">
        <v>18</v>
      </c>
      <c r="Q26" s="2061"/>
      <c r="R26" s="1998" t="s">
        <v>19</v>
      </c>
      <c r="S26" s="1998"/>
      <c r="T26" s="2060" t="s">
        <v>20</v>
      </c>
      <c r="U26" s="2061"/>
      <c r="V26" s="1998" t="s">
        <v>21</v>
      </c>
      <c r="W26" s="1998"/>
      <c r="X26" s="2060" t="s">
        <v>22</v>
      </c>
      <c r="Y26" s="2061"/>
      <c r="Z26" s="2082" t="s">
        <v>23</v>
      </c>
      <c r="AA26" s="2083"/>
      <c r="AB26" s="2082" t="s">
        <v>358</v>
      </c>
      <c r="AC26" s="2083"/>
      <c r="AD26" s="2082" t="s">
        <v>359</v>
      </c>
      <c r="AE26" s="2083"/>
      <c r="AF26" s="2082" t="s">
        <v>360</v>
      </c>
      <c r="AG26" s="2091"/>
      <c r="AH26" s="2078"/>
      <c r="AI26" s="1879"/>
      <c r="AJ26" s="2081"/>
      <c r="AK26" s="1724"/>
      <c r="CE26" s="916"/>
      <c r="CF26" s="916"/>
      <c r="CG26" s="917"/>
      <c r="CH26" s="917"/>
      <c r="CI26" s="916"/>
      <c r="CJ26" s="916"/>
      <c r="CK26" s="1619"/>
      <c r="CL26" s="1619"/>
      <c r="CM26" s="916"/>
      <c r="CN26" s="916"/>
      <c r="CO26" s="1619"/>
      <c r="CP26" s="1619"/>
      <c r="CQ26" s="916"/>
      <c r="CR26" s="916"/>
      <c r="CS26" s="1619"/>
      <c r="CT26" s="1619"/>
      <c r="CU26" s="916"/>
      <c r="CV26" s="916"/>
      <c r="CW26" s="1619"/>
      <c r="CX26" s="1619"/>
      <c r="CY26" s="1621"/>
      <c r="CZ26" s="1621"/>
      <c r="DA26" s="1621"/>
      <c r="DB26" s="1621"/>
      <c r="DC26" s="1621"/>
      <c r="DD26" s="1621"/>
      <c r="DE26" s="1621"/>
      <c r="DF26" s="1621"/>
      <c r="DO26" s="916"/>
      <c r="DP26" s="916"/>
      <c r="DQ26" s="917"/>
      <c r="DR26" s="917"/>
      <c r="DS26" s="916"/>
      <c r="DT26" s="916"/>
      <c r="DU26" s="1619"/>
      <c r="DV26" s="1619"/>
      <c r="DW26" s="916"/>
      <c r="DX26" s="916"/>
      <c r="DY26" s="1619"/>
      <c r="DZ26" s="1619"/>
      <c r="EA26" s="916"/>
      <c r="EB26" s="916"/>
      <c r="EC26" s="1619"/>
      <c r="ED26" s="1619"/>
      <c r="EE26" s="916"/>
      <c r="EF26" s="916"/>
      <c r="EG26" s="1619"/>
      <c r="EH26" s="1619"/>
      <c r="EI26" s="1621"/>
      <c r="EJ26" s="1621"/>
      <c r="EK26" s="1621"/>
      <c r="EL26" s="1621"/>
      <c r="EM26" s="1621"/>
      <c r="EN26" s="1621"/>
      <c r="EO26" s="1621"/>
      <c r="EP26" s="1621"/>
    </row>
    <row r="27" spans="1:148" ht="21.75" customHeight="1">
      <c r="A27" s="2040"/>
      <c r="B27" s="2041"/>
      <c r="C27" s="682" t="s">
        <v>178</v>
      </c>
      <c r="D27" s="1635" t="s">
        <v>42</v>
      </c>
      <c r="E27" s="1636" t="s">
        <v>179</v>
      </c>
      <c r="F27" s="835" t="s">
        <v>42</v>
      </c>
      <c r="G27" s="1636" t="s">
        <v>179</v>
      </c>
      <c r="H27" s="835" t="s">
        <v>42</v>
      </c>
      <c r="I27" s="1636" t="s">
        <v>179</v>
      </c>
      <c r="J27" s="835" t="s">
        <v>42</v>
      </c>
      <c r="K27" s="1636" t="s">
        <v>179</v>
      </c>
      <c r="L27" s="835" t="s">
        <v>42</v>
      </c>
      <c r="M27" s="1636" t="s">
        <v>179</v>
      </c>
      <c r="N27" s="835" t="s">
        <v>42</v>
      </c>
      <c r="O27" s="1636" t="s">
        <v>179</v>
      </c>
      <c r="P27" s="835" t="s">
        <v>42</v>
      </c>
      <c r="Q27" s="1636" t="s">
        <v>179</v>
      </c>
      <c r="R27" s="835" t="s">
        <v>42</v>
      </c>
      <c r="S27" s="1636" t="s">
        <v>179</v>
      </c>
      <c r="T27" s="835" t="s">
        <v>42</v>
      </c>
      <c r="U27" s="1636" t="s">
        <v>179</v>
      </c>
      <c r="V27" s="835" t="s">
        <v>42</v>
      </c>
      <c r="W27" s="1636" t="s">
        <v>179</v>
      </c>
      <c r="X27" s="835" t="s">
        <v>42</v>
      </c>
      <c r="Y27" s="1636" t="s">
        <v>179</v>
      </c>
      <c r="Z27" s="835" t="s">
        <v>362</v>
      </c>
      <c r="AA27" s="1636" t="s">
        <v>179</v>
      </c>
      <c r="AB27" s="835" t="s">
        <v>362</v>
      </c>
      <c r="AC27" s="1636" t="s">
        <v>179</v>
      </c>
      <c r="AD27" s="835" t="s">
        <v>362</v>
      </c>
      <c r="AE27" s="1636" t="s">
        <v>179</v>
      </c>
      <c r="AF27" s="690" t="s">
        <v>362</v>
      </c>
      <c r="AG27" s="692" t="s">
        <v>179</v>
      </c>
      <c r="AH27" s="919" t="s">
        <v>42</v>
      </c>
      <c r="AI27" s="836" t="s">
        <v>179</v>
      </c>
      <c r="AJ27" s="1641" t="s">
        <v>42</v>
      </c>
      <c r="AK27" s="836" t="s">
        <v>179</v>
      </c>
      <c r="CE27" s="893"/>
      <c r="CF27" s="893"/>
      <c r="CG27" s="893"/>
      <c r="CH27" s="893"/>
      <c r="CI27" s="893"/>
      <c r="CJ27" s="893"/>
      <c r="CK27" s="893"/>
      <c r="CL27" s="893"/>
      <c r="CM27" s="893"/>
      <c r="CN27" s="893"/>
      <c r="CO27" s="893"/>
      <c r="CP27" s="893"/>
      <c r="CQ27" s="893"/>
      <c r="CR27" s="893"/>
      <c r="CS27" s="893"/>
      <c r="CT27" s="893"/>
      <c r="CU27" s="893"/>
      <c r="CV27" s="893"/>
      <c r="CW27" s="893"/>
      <c r="CX27" s="893"/>
      <c r="CY27" s="893"/>
      <c r="CZ27" s="893"/>
      <c r="DA27" s="893"/>
      <c r="DB27" s="893"/>
      <c r="DC27" s="893"/>
      <c r="DD27" s="893"/>
      <c r="DE27" s="893"/>
      <c r="DF27" s="893"/>
      <c r="DO27" s="893"/>
      <c r="DP27" s="893"/>
      <c r="DQ27" s="893"/>
      <c r="DR27" s="893"/>
      <c r="DS27" s="893"/>
      <c r="DT27" s="893"/>
      <c r="DU27" s="893"/>
      <c r="DV27" s="893"/>
      <c r="DW27" s="893"/>
      <c r="DX27" s="893"/>
      <c r="DY27" s="893"/>
      <c r="DZ27" s="893"/>
      <c r="EA27" s="893"/>
      <c r="EB27" s="893"/>
      <c r="EC27" s="893"/>
      <c r="ED27" s="893"/>
      <c r="EE27" s="893"/>
      <c r="EF27" s="893"/>
      <c r="EG27" s="893"/>
      <c r="EH27" s="893"/>
      <c r="EI27" s="893"/>
      <c r="EJ27" s="893"/>
      <c r="EK27" s="893"/>
      <c r="EL27" s="893"/>
      <c r="EM27" s="893"/>
      <c r="EN27" s="893"/>
      <c r="EO27" s="893"/>
      <c r="EP27" s="893"/>
    </row>
    <row r="28" spans="1:148" ht="15" customHeight="1">
      <c r="A28" s="2084" t="s">
        <v>468</v>
      </c>
      <c r="B28" s="920" t="s">
        <v>469</v>
      </c>
      <c r="C28" s="958">
        <v>0</v>
      </c>
      <c r="D28" s="697">
        <f>+F28+H28+J28+L28+N28+P28+R28+T28+V28+X28+Z28+AB28+AD28</f>
        <v>0</v>
      </c>
      <c r="E28" s="782">
        <f>+G28+I28+K28+M28+O28+Q28+S28+U28+W28+Y28+AA28+AC28+AE28</f>
        <v>0</v>
      </c>
      <c r="F28" s="699"/>
      <c r="G28" s="700"/>
      <c r="H28" s="699"/>
      <c r="I28" s="700"/>
      <c r="J28" s="699"/>
      <c r="K28" s="783"/>
      <c r="L28" s="699"/>
      <c r="M28" s="700"/>
      <c r="N28" s="699"/>
      <c r="O28" s="700"/>
      <c r="P28" s="699"/>
      <c r="Q28" s="783"/>
      <c r="R28" s="699"/>
      <c r="S28" s="700"/>
      <c r="T28" s="699"/>
      <c r="U28" s="700"/>
      <c r="V28" s="699"/>
      <c r="W28" s="700"/>
      <c r="X28" s="699"/>
      <c r="Y28" s="700"/>
      <c r="Z28" s="699"/>
      <c r="AA28" s="700"/>
      <c r="AB28" s="699"/>
      <c r="AC28" s="700"/>
      <c r="AD28" s="699"/>
      <c r="AE28" s="700"/>
      <c r="AF28" s="921"/>
      <c r="AG28" s="786"/>
      <c r="AH28" s="705"/>
      <c r="AI28" s="700"/>
      <c r="AJ28" s="784"/>
      <c r="AK28" s="700"/>
      <c r="AL28" s="7" t="s">
        <v>204</v>
      </c>
      <c r="CA28" s="142" t="str">
        <f>IF(AND(D28&gt;0,OR(AH28=""))," * No olvide digitar la variable Pueblos Originarios Hombres. Digite Cero si no tiene.",IF(AH28&gt;D28," * La variable Pueblos Originarios Hombres no puede ser Mayor al Total Hombres.",""))</f>
        <v/>
      </c>
      <c r="CB28" s="142" t="str">
        <f>IF(AND(E28&gt;0,OR(AI28=""))," * No olvide digitar la variable Pueblos Originarios Mujeres. Digite Cero si no tiene.",IF(AI28&gt;E28," * La variable Pueblos Originarios Mujeres no puede ser Mayor al Total Mujeres.",""))</f>
        <v/>
      </c>
      <c r="CC28" s="142" t="str">
        <f>IF(AND($D28&gt;0,OR(AJ28=""))," * No olvide digitar la variable Migrantes Hombres. Digite Cero si no tiene.",IF(AJ28&gt;$D28," * La variable Migrantes Hombres no puede ser Mayor al Total Hombres.",""))</f>
        <v/>
      </c>
      <c r="CD28" s="142" t="str">
        <f>IF(AND(E28&gt;0,OR(AK28=""))," * No olvide digitar la variable Migrantes Mujeres. Digite Cero si no tiene.",IF(AK28&gt;E28," * La variable Migrantes Mujeres no puede ser Mayor al Total Mujeres.",""))</f>
        <v/>
      </c>
      <c r="CE28" s="142" t="str">
        <f>IF($F$28&lt;=$F$16,"","* Pacientes 15 a 19 años (Hombres) con PA&lt;140/90 mmHg debe ser menor o igual a Hipertensos en Sección A. ")</f>
        <v/>
      </c>
      <c r="CF28" s="142" t="str">
        <f>IF($G$28&lt;=$G$16,"","* Pacientes 15 a 19 años (Mujeres) con PA&lt;140/90 mmHg debe ser menor o igual a Hipertensos en Sección A. ")</f>
        <v/>
      </c>
      <c r="CG28" s="142" t="str">
        <f>IF($H$28&lt;=$H$16,"","* Pacientes 20 a 24 años (Hombres) con PA&lt;140/90 mmHg debe ser menor o igual a Hipertensos en Sección A. ")</f>
        <v/>
      </c>
      <c r="CH28" s="142" t="str">
        <f>IF($I$28&lt;=$I$16,"","* Pacientes 20 a 24 años (Mujeres) con PA&lt;140/90 mmHg debe ser menor o igual a Hipertensos en Sección A. ")</f>
        <v/>
      </c>
      <c r="CI28" s="142" t="str">
        <f>IF($J$28&lt;=$J$16,"","* Pacientes 25 a 29 años (Hombres) con PA&lt;140/90 mmHg debe ser menor o igual a Hipertensos en Sección A. ")</f>
        <v/>
      </c>
      <c r="CJ28" s="142" t="str">
        <f>IF($K$28&lt;=$K$16,"","* Pacientes 25 a 29 años (Mujeres) con PA&lt;140/90 mmHg debe ser menor o igual a Hipertensos en Sección A. ")</f>
        <v/>
      </c>
      <c r="CK28" s="142" t="str">
        <f>IF($L$28&lt;=$L$16,"","* Pacientes 30 a 34 años (Hombres) con PA&lt;140/90 mmHg debe ser menor o igual a Hipertensos en Sección A. ")</f>
        <v/>
      </c>
      <c r="CL28" s="142" t="str">
        <f>IF($M$28&lt;=$M$16,"","* Pacientes 30 a 34 años (Mujeres) con PA&lt;140/90 mmHg debe ser menor o igual a Hipertensos en Sección A. ")</f>
        <v/>
      </c>
      <c r="CM28" s="142" t="str">
        <f>IF($N$28&lt;=$N$16,"","* Pacientes 35 a 39 años (Hombres) con PA&lt;140/90 mmHg debe ser menor o igual a Hipertensos en Sección A. ")</f>
        <v/>
      </c>
      <c r="CN28" s="142" t="str">
        <f>IF($O$28&lt;=$O$16,"","* Pacientes 35 a 39 años (Mujeres) con PA&lt;140/90 mmHg debe ser menor o igual a Hipertensos en Sección A. ")</f>
        <v/>
      </c>
      <c r="CO28" s="142" t="str">
        <f>IF($P$28&lt;=$P$16,"","* Pacientes 40 a 44 años (Hombres) con PA&lt;140/90 mmHg debe ser menor o igual a Hipertensos en Sección A. ")</f>
        <v/>
      </c>
      <c r="CP28" s="142" t="str">
        <f>IF($Q$28&lt;=$Q$16,"","* Pacientes 40 a 44 años (Mujeres) con PA&lt;140/90 mmHg debe ser menor o igual a Hipertensos en Sección A. ")</f>
        <v/>
      </c>
      <c r="CQ28" s="142" t="str">
        <f>IF($R$28&lt;=$R$16,"","* Pacientes 45 a 49 años (Hombres) con PA&lt;140/90 mmHg debe ser menor o igual a Hipertensos en Sección A. ")</f>
        <v/>
      </c>
      <c r="CR28" s="142" t="str">
        <f>IF($S$28&lt;=$S$16,"","* Pacientes 45 a 49 años (Mujeres) con PA&lt;140/90 mmHg debe ser menor o igual a Hipertensos en Sección A. ")</f>
        <v/>
      </c>
      <c r="CS28" s="142" t="str">
        <f>IF($T$28&lt;=$T$16,"","* Pacientes 50 a 54 años (Hombres) con PA&lt;140/90 mmHg debe ser menor o igual a Hipertensos en Sección A. ")</f>
        <v/>
      </c>
      <c r="CT28" s="142" t="str">
        <f>IF($U$28&lt;=$U$16,"","* Pacientes 50 a 54 años (Mujeres) con PA&lt;140/90 mmHg debe ser menor o igual a Hipertensos en Sección A. ")</f>
        <v/>
      </c>
      <c r="CU28" s="142" t="str">
        <f>IF($V$28&lt;=$V$16,"","* Pacientes 55 a 59 años (Hombres) con PA&lt;140/90 mmHg debe ser menor o igual a Hipertensos en Sección A. ")</f>
        <v/>
      </c>
      <c r="CV28" s="142" t="str">
        <f>IF($W$28&lt;=$W$16,"","* Pacientes 55 a 59 años (Mujeres) con PA&lt;140/90 mmHg debe ser menor o igual a Hipertensos en Sección A. ")</f>
        <v/>
      </c>
      <c r="CW28" s="142" t="str">
        <f>IF($X$28&lt;=$X$16,"","* Pacientes 60 a 64 años (Hombres) con PA&lt;140/90 mmHg debe ser menor o igual a Hipertensos en Sección A. ")</f>
        <v/>
      </c>
      <c r="CX28" s="142" t="str">
        <f>IF($Y$28&lt;=$Y$16,"","* Pacientes 60 a 64 años (Mujeres) con PA&lt;140/90 mmHg debe ser menor o igual a Hipertensos en Sección A. ")</f>
        <v/>
      </c>
      <c r="CY28" s="142" t="str">
        <f>IF($Z$28&lt;=$Z$16,"","* Pacientes 65 a 69 años (Hombres) con PA&lt;140/90 mmHg debe ser menor o igual a Hipertensos en Sección A. ")</f>
        <v/>
      </c>
      <c r="CZ28" s="142" t="str">
        <f>IF($AA$28&lt;=$AA$16,"","* Pacientes 65 a 69 años (Mujeres) con PA&lt;140/90 mmHg debe ser menor o igual a Hipertensos en Sección A. ")</f>
        <v/>
      </c>
      <c r="DA28" s="142" t="str">
        <f>IF($AB$28&lt;=$AB$16,"","* Pacientes 70 a 74 años (Hombres) con PA&lt;140/90 mmHg debe ser menor o igual a Hipertensos en Sección A. ")</f>
        <v/>
      </c>
      <c r="DB28" s="142" t="str">
        <f>IF($AC$28&lt;=$AC$16,"","* Pacientes 70 a 74 años (Mujeres) con PA&lt;140/90 mmHg debe ser menor o igual a Hipertensos en Sección A. ")</f>
        <v/>
      </c>
      <c r="DC28" s="142" t="str">
        <f>IF($AD$28&lt;=$AD$16,"","* Pacientes 75 a 79 años (Hombres) con PA&lt;140/90 mmHg debe ser menor o igual a Hipertensos en Sección A. ")</f>
        <v/>
      </c>
      <c r="DD28" s="142" t="str">
        <f>IF($AE$28&lt;=$AE$16,"","* Pacientes 75 a 79 años (Mujeres) con PA&lt;140/90 mmHg debe ser menor o igual a Hipertensos en Sección A. ")</f>
        <v/>
      </c>
      <c r="DE28" s="142" t="str">
        <f>IF($AF$28&lt;=$AF$16,"","* Pacientes 80 y más años (Hombres) con PA&lt;140/90 mmHg debe ser menor o igual a Hipertensos en Sección A. ")</f>
        <v/>
      </c>
      <c r="DF28" s="142" t="str">
        <f>IF($AG$28&lt;=$AG$16,"","* Pacientes 80 y más años (Mujeres) con PA&lt;140/90 mmHg debe ser menor o igual a Hipertensos en Sección A. ")</f>
        <v/>
      </c>
      <c r="DK28" s="34">
        <f>IF(AND(D28&lt;&gt;0,AH28=""),1,IF(AND(E28&lt;&gt;0,AI28=""),1,0))</f>
        <v>0</v>
      </c>
      <c r="DL28" s="34">
        <f>IF(AND(D28&lt;&gt;0,AJ28=""),1,IF(AND(E28&lt;&gt;0,AK28=""),1,0))</f>
        <v>0</v>
      </c>
      <c r="DM28" s="34">
        <f>IF($D$28&gt;=$AH$28,0,1)</f>
        <v>0</v>
      </c>
      <c r="DN28" s="34">
        <f>IF(E$28&gt;=AI28,0,1)</f>
        <v>0</v>
      </c>
      <c r="DO28" s="34">
        <f t="shared" ref="DO28:DO42" si="11">IF($D28&gt;=$AJ28,0,1)</f>
        <v>0</v>
      </c>
      <c r="DP28" s="34">
        <f t="shared" ref="DP28:DP42" si="12">IF(E28&gt;=AK28,0,1)</f>
        <v>0</v>
      </c>
      <c r="DQ28" s="34">
        <f t="shared" ref="DQ28:ER28" si="13">IF(F$28&lt;=F$16,0,1)</f>
        <v>0</v>
      </c>
      <c r="DR28" s="34">
        <f t="shared" si="13"/>
        <v>0</v>
      </c>
      <c r="DS28" s="34">
        <f t="shared" si="13"/>
        <v>0</v>
      </c>
      <c r="DT28" s="34">
        <f t="shared" si="13"/>
        <v>0</v>
      </c>
      <c r="DU28" s="34">
        <f t="shared" si="13"/>
        <v>0</v>
      </c>
      <c r="DV28" s="34">
        <f t="shared" si="13"/>
        <v>0</v>
      </c>
      <c r="DW28" s="34">
        <f t="shared" si="13"/>
        <v>0</v>
      </c>
      <c r="DX28" s="34">
        <f t="shared" si="13"/>
        <v>0</v>
      </c>
      <c r="DY28" s="34">
        <f t="shared" si="13"/>
        <v>0</v>
      </c>
      <c r="DZ28" s="34">
        <f t="shared" si="13"/>
        <v>0</v>
      </c>
      <c r="EA28" s="34">
        <f t="shared" si="13"/>
        <v>0</v>
      </c>
      <c r="EB28" s="34">
        <f t="shared" si="13"/>
        <v>0</v>
      </c>
      <c r="EC28" s="34">
        <f t="shared" si="13"/>
        <v>0</v>
      </c>
      <c r="ED28" s="34">
        <f t="shared" si="13"/>
        <v>0</v>
      </c>
      <c r="EE28" s="34">
        <f t="shared" si="13"/>
        <v>0</v>
      </c>
      <c r="EF28" s="34">
        <f t="shared" si="13"/>
        <v>0</v>
      </c>
      <c r="EG28" s="34">
        <f t="shared" si="13"/>
        <v>0</v>
      </c>
      <c r="EH28" s="34">
        <f t="shared" si="13"/>
        <v>0</v>
      </c>
      <c r="EI28" s="34">
        <f t="shared" si="13"/>
        <v>0</v>
      </c>
      <c r="EJ28" s="34">
        <f t="shared" si="13"/>
        <v>0</v>
      </c>
      <c r="EK28" s="34">
        <f t="shared" si="13"/>
        <v>0</v>
      </c>
      <c r="EL28" s="34">
        <f t="shared" si="13"/>
        <v>0</v>
      </c>
      <c r="EM28" s="34">
        <f t="shared" si="13"/>
        <v>0</v>
      </c>
      <c r="EN28" s="34">
        <f t="shared" si="13"/>
        <v>0</v>
      </c>
      <c r="EO28" s="34">
        <f t="shared" si="13"/>
        <v>0</v>
      </c>
      <c r="EP28" s="34">
        <f t="shared" si="13"/>
        <v>0</v>
      </c>
      <c r="EQ28" s="34">
        <f t="shared" si="13"/>
        <v>0</v>
      </c>
      <c r="ER28" s="34">
        <f t="shared" si="13"/>
        <v>0</v>
      </c>
    </row>
    <row r="29" spans="1:148" ht="15" customHeight="1">
      <c r="A29" s="1738"/>
      <c r="B29" s="922" t="s">
        <v>470</v>
      </c>
      <c r="C29" s="958">
        <v>0</v>
      </c>
      <c r="D29" s="777">
        <f>+AF29</f>
        <v>0</v>
      </c>
      <c r="E29" s="793">
        <f>+AG29</f>
        <v>0</v>
      </c>
      <c r="F29" s="744"/>
      <c r="G29" s="923"/>
      <c r="H29" s="744"/>
      <c r="I29" s="849"/>
      <c r="J29" s="744"/>
      <c r="K29" s="849"/>
      <c r="L29" s="744"/>
      <c r="M29" s="745"/>
      <c r="N29" s="744"/>
      <c r="O29" s="745"/>
      <c r="P29" s="744"/>
      <c r="Q29" s="849"/>
      <c r="R29" s="744"/>
      <c r="S29" s="745"/>
      <c r="T29" s="744"/>
      <c r="U29" s="745"/>
      <c r="V29" s="744"/>
      <c r="W29" s="745"/>
      <c r="X29" s="744"/>
      <c r="Y29" s="745"/>
      <c r="Z29" s="744"/>
      <c r="AA29" s="745"/>
      <c r="AB29" s="744"/>
      <c r="AC29" s="745"/>
      <c r="AD29" s="744"/>
      <c r="AE29" s="745"/>
      <c r="AF29" s="795"/>
      <c r="AG29" s="750"/>
      <c r="AH29" s="738"/>
      <c r="AI29" s="723"/>
      <c r="AJ29" s="852"/>
      <c r="AK29" s="723"/>
      <c r="AL29" s="7" t="s">
        <v>204</v>
      </c>
      <c r="CA29" s="142" t="str">
        <f t="shared" ref="CA29:CA42" si="14">IF(AND(D29&gt;0,OR(AH29=""))," * No olvide digitar la variable Pueblos Originarios Hombres. Digite Cero si no tiene.",IF(AH29&gt;D29," * La variable Pueblos Originarios Hombres no puede ser Mayor al Total Hombres.",""))</f>
        <v/>
      </c>
      <c r="CB29" s="142" t="str">
        <f t="shared" ref="CB29:CB42" si="15">IF(AND(E29&gt;0,OR(AI29=""))," * No olvide digitar la variable Pueblos Originarios Mujeres. Digite Cero si no tiene.",IF(AI29&gt;E29," * La variable Pueblos Originarios Mujeres no puede ser Mayor al Total Mujeres.",""))</f>
        <v/>
      </c>
      <c r="CC29" s="142" t="str">
        <f t="shared" ref="CC29:CC42" si="16">IF(AND($D29&gt;0,OR(AJ29=""))," * No olvide digitar la variable Migrantes Hombres. Digite Cero si no tiene.",IF(AJ29&gt;$D29," * La variable Migrantes Hombres no puede ser Mayor al Total Hombres.",""))</f>
        <v/>
      </c>
      <c r="CD29" s="142" t="str">
        <f t="shared" ref="CD29:CD42" si="17">IF(AND(E29&gt;0,OR(AK29=""))," * No olvide digitar la variable Migrantes Mujeres. Digite Cero si no tiene.",IF(AK29&gt;E29," * La variable Migrantes Mujeres no puede ser Mayor al Total Mujeres.",""))</f>
        <v/>
      </c>
      <c r="DK29" s="34">
        <f t="shared" ref="DK29:DK42" si="18">IF(AND(D29&lt;&gt;0,AH29=""),1,IF(AND(E29&lt;&gt;0,AI29=""),1,0))</f>
        <v>0</v>
      </c>
      <c r="DL29" s="34">
        <f t="shared" ref="DL29:DL42" si="19">IF(AND(D29&lt;&gt;0,AJ29=""),1,IF(AND(E29&lt;&gt;0,AK29=""),1,0))</f>
        <v>0</v>
      </c>
      <c r="DM29" s="34">
        <f>IF($D$29&gt;=$AH$29,0,1)</f>
        <v>0</v>
      </c>
      <c r="DN29" s="34">
        <f t="shared" ref="DN29:DN42" si="20">IF(E$28&gt;=AI29,0,1)</f>
        <v>0</v>
      </c>
      <c r="DO29" s="34">
        <f t="shared" si="11"/>
        <v>0</v>
      </c>
      <c r="DP29" s="34">
        <f t="shared" si="12"/>
        <v>0</v>
      </c>
    </row>
    <row r="30" spans="1:148" ht="15" customHeight="1">
      <c r="A30" s="2085" t="s">
        <v>471</v>
      </c>
      <c r="B30" s="924" t="s">
        <v>472</v>
      </c>
      <c r="C30" s="959">
        <f t="shared" ref="C30:C42" si="21">SUM(D30:E30)</f>
        <v>0</v>
      </c>
      <c r="D30" s="697">
        <f>+F30+H30+J30+L30+N30+P30+R30+T30+V30+X30+Z30+AB30+AD30</f>
        <v>0</v>
      </c>
      <c r="E30" s="904">
        <f>+G30+I30+K30+M30+O30+Q30+S30+U30+W30+Y30+AA30+AC30+AE30</f>
        <v>0</v>
      </c>
      <c r="F30" s="699"/>
      <c r="G30" s="700"/>
      <c r="H30" s="699"/>
      <c r="I30" s="700"/>
      <c r="J30" s="699"/>
      <c r="K30" s="700"/>
      <c r="L30" s="699"/>
      <c r="M30" s="700"/>
      <c r="N30" s="699"/>
      <c r="O30" s="700"/>
      <c r="P30" s="699"/>
      <c r="Q30" s="700"/>
      <c r="R30" s="699"/>
      <c r="S30" s="700"/>
      <c r="T30" s="699"/>
      <c r="U30" s="700"/>
      <c r="V30" s="699"/>
      <c r="W30" s="700"/>
      <c r="X30" s="699"/>
      <c r="Y30" s="700"/>
      <c r="Z30" s="699"/>
      <c r="AA30" s="700"/>
      <c r="AB30" s="699"/>
      <c r="AC30" s="700"/>
      <c r="AD30" s="699"/>
      <c r="AE30" s="700"/>
      <c r="AF30" s="921"/>
      <c r="AG30" s="921"/>
      <c r="AH30" s="705"/>
      <c r="AI30" s="700"/>
      <c r="AJ30" s="784"/>
      <c r="AK30" s="700"/>
      <c r="AL30" s="7" t="s">
        <v>204</v>
      </c>
      <c r="CA30" s="142" t="str">
        <f t="shared" si="14"/>
        <v/>
      </c>
      <c r="CB30" s="142" t="str">
        <f t="shared" si="15"/>
        <v/>
      </c>
      <c r="CC30" s="142" t="str">
        <f t="shared" si="16"/>
        <v/>
      </c>
      <c r="CD30" s="142" t="str">
        <f t="shared" si="17"/>
        <v/>
      </c>
      <c r="CE30" s="142" t="str">
        <f>IF($F$30&lt;=$F$17,"","* Pacientes 15 a 19 años (Hombres) con HbA1C&lt;7% debe ser menor o igual a Diabéticos en Sección A. ")</f>
        <v/>
      </c>
      <c r="CF30" s="142" t="str">
        <f>IF($G$30&lt;=$G$17,"","* Pacientes 15 a 19 años (Mujeres) con HbA1C&lt;7% debe ser menor o igual a Diabéticos en Sección A. ")</f>
        <v/>
      </c>
      <c r="CG30" s="142" t="str">
        <f>IF($H$30&lt;=$H$17,"","* Pacientes 20 a 24 años (Hombres) con HbA1C&lt;7% debe ser menor o igual a Diabéticos en Sección A. ")</f>
        <v/>
      </c>
      <c r="CH30" s="142" t="str">
        <f>IF($I$30&lt;=$I$17,"","* Pacientes 20 a 24 años (Mujeres) con HbA1C&lt;7% debe ser menor o igual a Diabéticos en Sección A. ")</f>
        <v/>
      </c>
      <c r="CI30" s="142" t="str">
        <f>IF($J$30&lt;=$J$17,"","* Pacientes 25 a 29 años (Hombres) con HbA1C&lt;7% debe ser menor o igual a Diabéticos en Sección A. ")</f>
        <v/>
      </c>
      <c r="CJ30" s="142" t="str">
        <f>IF($K$30&lt;=$K$17,"","* Pacientes 25 a 29 años (Mujeres) con HbA1C&lt;7% debe ser menor o igual a Diabéticos en Sección A. ")</f>
        <v/>
      </c>
      <c r="CK30" s="142" t="str">
        <f>IF($L$30&lt;=$L$17,"","* Pacientes 30 a 34 años (Hombres) con HbA1C&lt;7% debe ser menor o igual a Diabéticos en Sección A. ")</f>
        <v/>
      </c>
      <c r="CL30" s="142" t="str">
        <f>IF($M$30&lt;=$M$17,"","* Pacientes 30 a 34 años (Mujeres) con HbA1C&lt;7% debe ser menor o igual a Diabéticos en Sección A. ")</f>
        <v/>
      </c>
      <c r="CM30" s="142" t="str">
        <f>IF($N$30&lt;=$N$17,"","* Pacientes 35 a 39 años (Hombres) con HbA1C&lt;7% debe ser menor o igual a Diabéticos en Sección A. ")</f>
        <v/>
      </c>
      <c r="CN30" s="142" t="str">
        <f>IF($O$30&lt;=$O$17,"","* Pacientes 35 a 39 años (Mujeres) con HbA1C&lt;7% debe ser menor o igual a Diabéticos en Sección A. ")</f>
        <v/>
      </c>
      <c r="CO30" s="142" t="str">
        <f>IF($P$30&lt;=$P$17,"","* Pacientes 40 a 44 años (Hombres) con HbA1C&lt;7% debe ser menor o igual a Diabéticos en Sección A. ")</f>
        <v/>
      </c>
      <c r="CP30" s="142" t="str">
        <f>IF($Q$30&lt;=$Q$17,"","* Pacientes 40 a 44 años (Mujeres) con HbA1C&lt;7% debe ser menor o igual a Diabéticos en Sección A. ")</f>
        <v/>
      </c>
      <c r="CQ30" s="142" t="str">
        <f>IF($R$30&lt;=$R$17,"","* Pacientes 45 a 49 años (Hombres) con HbA1C&lt;7% debe ser menor o igual a Diabéticos en Sección A. ")</f>
        <v/>
      </c>
      <c r="CR30" s="142" t="str">
        <f>IF($S$30&lt;=$S$17,"","* Pacientes 45 a 49 años (Mujeres) con HbA1C&lt;7% debe ser menor o igual a Diabéticos en Sección A. ")</f>
        <v/>
      </c>
      <c r="CS30" s="142" t="str">
        <f>IF($T$30&lt;=$T$17,"","* Pacientes 50 a 54 años (Hombres) con HbA1C&lt;7% debe ser menor o igual a Diabéticos en Sección A. ")</f>
        <v/>
      </c>
      <c r="CT30" s="142" t="str">
        <f>IF($U$30&lt;=$U$17,"","* Pacientes 50 a 54 años (Mujeres) con HbA1C&lt;7% debe ser menor o igual a Diabéticos en Sección A. ")</f>
        <v/>
      </c>
      <c r="CU30" s="142" t="str">
        <f>IF($V$30&lt;=$V$17,"","* Pacientes 55 a 59 años (Hombres) con HbA1C&lt;7% debe ser menor o igual a Diabéticos en Sección A. ")</f>
        <v/>
      </c>
      <c r="CV30" s="142" t="str">
        <f>IF($W$30&lt;=$W$17,"","* Pacientes 55 a 59 años (Mujeres) con HbA1C&lt;7% debe ser menor o igual a Diabéticos en Sección A. ")</f>
        <v/>
      </c>
      <c r="CW30" s="142" t="str">
        <f>IF($X$30&lt;=$X$17,"","* Pacientes 60 a 64 años (Hombres) con HbA1C&lt;7% debe ser menor o igual a Diabéticos en Sección A. ")</f>
        <v/>
      </c>
      <c r="CX30" s="142" t="str">
        <f>IF($Y$30&lt;=$Y$17,"","* Pacientes 60 a 64 años (Mujeres) con HbA1C&lt;7% debe ser menor o igual a Diabéticos en Sección A. ")</f>
        <v/>
      </c>
      <c r="CY30" s="142" t="str">
        <f>IF($Z$30&lt;=$Z$17,"","* Pacientes 65 a 69 años (Hombres) con HbA1C&lt;7% debe ser menor o igual a Diabéticos en Sección A. ")</f>
        <v/>
      </c>
      <c r="CZ30" s="142" t="str">
        <f>IF($AA$30&lt;=$AA$17,"","* Pacientes 65 a 69 años (Mujeres) con HbA1C&lt;7% debe ser menor o igual a Diabéticos en Sección A. ")</f>
        <v/>
      </c>
      <c r="DA30" s="142" t="str">
        <f>IF($AB$30&lt;=$AB$17,"","* Pacientes 70 a 74 años (Hombres) con HbA1C&lt;7% debe ser menor o igual a Diabéticos en Sección A. ")</f>
        <v/>
      </c>
      <c r="DB30" s="142" t="str">
        <f>IF($AC$30&lt;=$AC$17,"","* Pacientes 70 a 74 años (Mujeres) con HbA1C&lt;7% debe ser menor o igual a Diabéticos en Sección A. ")</f>
        <v/>
      </c>
      <c r="DC30" s="142" t="str">
        <f>IF($AD$30&lt;=$AD$17,"","* Pacientes 75 a 79 años (Hombres) con HbA1C&lt;7% debe ser menor o igual a Diabéticos en Sección A. ")</f>
        <v/>
      </c>
      <c r="DD30" s="142" t="str">
        <f>IF($AE$30&lt;=$AE$17,"","* Pacientes 75 a 79 años (Mujeres) con HbA1C&lt;7% debe ser menor o igual a Diabéticos en Sección A. ")</f>
        <v/>
      </c>
      <c r="DE30" s="142" t="str">
        <f>IF($AF$30&lt;=$AF$17,"","* Pacientes 80 y más años (Hombres) con HbA1C&lt;7% debe ser menor o igual a Diabéticos en Sección A. ")</f>
        <v/>
      </c>
      <c r="DF30" s="142" t="str">
        <f>IF($AG$31&lt;=$AG$17,"","* Pacientes 80 y más años (Mujeres) con HbA1C&lt;8% debe ser menor o igual a Diabéticos en Sección A. ")</f>
        <v/>
      </c>
      <c r="DK30" s="34">
        <f t="shared" si="18"/>
        <v>0</v>
      </c>
      <c r="DL30" s="34">
        <f t="shared" si="19"/>
        <v>0</v>
      </c>
      <c r="DM30" s="34">
        <f>IF($D$30&gt;=$AH$30,0,1)</f>
        <v>0</v>
      </c>
      <c r="DN30" s="34">
        <f t="shared" si="20"/>
        <v>0</v>
      </c>
      <c r="DO30" s="34">
        <f t="shared" si="11"/>
        <v>0</v>
      </c>
      <c r="DP30" s="34">
        <f t="shared" si="12"/>
        <v>0</v>
      </c>
      <c r="DQ30" s="34">
        <f t="shared" ref="DQ30:ER30" si="22">IF(F$30&lt;=F$17,0,1)</f>
        <v>0</v>
      </c>
      <c r="DR30" s="34">
        <f t="shared" si="22"/>
        <v>0</v>
      </c>
      <c r="DS30" s="34">
        <f t="shared" si="22"/>
        <v>0</v>
      </c>
      <c r="DT30" s="34">
        <f t="shared" si="22"/>
        <v>0</v>
      </c>
      <c r="DU30" s="34">
        <f t="shared" si="22"/>
        <v>0</v>
      </c>
      <c r="DV30" s="34">
        <f t="shared" si="22"/>
        <v>0</v>
      </c>
      <c r="DW30" s="34">
        <f t="shared" si="22"/>
        <v>0</v>
      </c>
      <c r="DX30" s="34">
        <f t="shared" si="22"/>
        <v>0</v>
      </c>
      <c r="DY30" s="34">
        <f t="shared" si="22"/>
        <v>0</v>
      </c>
      <c r="DZ30" s="34">
        <f t="shared" si="22"/>
        <v>0</v>
      </c>
      <c r="EA30" s="34">
        <f t="shared" si="22"/>
        <v>0</v>
      </c>
      <c r="EB30" s="34">
        <f t="shared" si="22"/>
        <v>0</v>
      </c>
      <c r="EC30" s="34">
        <f t="shared" si="22"/>
        <v>0</v>
      </c>
      <c r="ED30" s="34">
        <f t="shared" si="22"/>
        <v>0</v>
      </c>
      <c r="EE30" s="34">
        <f t="shared" si="22"/>
        <v>0</v>
      </c>
      <c r="EF30" s="34">
        <f t="shared" si="22"/>
        <v>0</v>
      </c>
      <c r="EG30" s="34">
        <f t="shared" si="22"/>
        <v>0</v>
      </c>
      <c r="EH30" s="34">
        <f t="shared" si="22"/>
        <v>0</v>
      </c>
      <c r="EI30" s="34">
        <f t="shared" si="22"/>
        <v>0</v>
      </c>
      <c r="EJ30" s="34">
        <f t="shared" si="22"/>
        <v>0</v>
      </c>
      <c r="EK30" s="34">
        <f t="shared" si="22"/>
        <v>0</v>
      </c>
      <c r="EL30" s="34">
        <f t="shared" si="22"/>
        <v>0</v>
      </c>
      <c r="EM30" s="34">
        <f t="shared" si="22"/>
        <v>0</v>
      </c>
      <c r="EN30" s="34">
        <f t="shared" si="22"/>
        <v>0</v>
      </c>
      <c r="EO30" s="34">
        <f t="shared" si="22"/>
        <v>0</v>
      </c>
      <c r="EP30" s="34">
        <f t="shared" si="22"/>
        <v>0</v>
      </c>
      <c r="EQ30" s="34">
        <f t="shared" si="22"/>
        <v>0</v>
      </c>
      <c r="ER30" s="34">
        <f t="shared" si="22"/>
        <v>0</v>
      </c>
    </row>
    <row r="31" spans="1:148" ht="15" customHeight="1">
      <c r="A31" s="2040"/>
      <c r="B31" s="925" t="s">
        <v>473</v>
      </c>
      <c r="C31" s="959">
        <f t="shared" si="21"/>
        <v>0</v>
      </c>
      <c r="D31" s="845">
        <f>+AF31</f>
        <v>0</v>
      </c>
      <c r="E31" s="926">
        <f>+AG31</f>
        <v>0</v>
      </c>
      <c r="F31" s="713"/>
      <c r="G31" s="927"/>
      <c r="H31" s="713"/>
      <c r="I31" s="847"/>
      <c r="J31" s="713"/>
      <c r="K31" s="847"/>
      <c r="L31" s="713"/>
      <c r="M31" s="714"/>
      <c r="N31" s="713"/>
      <c r="O31" s="714"/>
      <c r="P31" s="713"/>
      <c r="Q31" s="847"/>
      <c r="R31" s="713"/>
      <c r="S31" s="714"/>
      <c r="T31" s="713"/>
      <c r="U31" s="714"/>
      <c r="V31" s="713"/>
      <c r="W31" s="714"/>
      <c r="X31" s="713"/>
      <c r="Y31" s="714"/>
      <c r="Z31" s="713"/>
      <c r="AA31" s="714"/>
      <c r="AB31" s="713"/>
      <c r="AC31" s="714"/>
      <c r="AD31" s="713"/>
      <c r="AE31" s="714"/>
      <c r="AF31" s="928"/>
      <c r="AG31" s="731"/>
      <c r="AH31" s="717"/>
      <c r="AI31" s="710"/>
      <c r="AJ31" s="928"/>
      <c r="AK31" s="710"/>
      <c r="AL31" s="7" t="s">
        <v>204</v>
      </c>
      <c r="CA31" s="142" t="str">
        <f t="shared" si="14"/>
        <v/>
      </c>
      <c r="CB31" s="142" t="str">
        <f t="shared" si="15"/>
        <v/>
      </c>
      <c r="CC31" s="142" t="str">
        <f t="shared" si="16"/>
        <v/>
      </c>
      <c r="CD31" s="142" t="str">
        <f t="shared" si="17"/>
        <v/>
      </c>
      <c r="DK31" s="34">
        <f t="shared" si="18"/>
        <v>0</v>
      </c>
      <c r="DL31" s="34">
        <f t="shared" si="19"/>
        <v>0</v>
      </c>
      <c r="DM31" s="34">
        <f>IF($D$31&gt;=$AH$31,0,1)</f>
        <v>0</v>
      </c>
      <c r="DN31" s="34">
        <f t="shared" si="20"/>
        <v>0</v>
      </c>
      <c r="DO31" s="34">
        <f>IF($D31&gt;=$AJ31,0,1)</f>
        <v>0</v>
      </c>
      <c r="DP31" s="34">
        <f t="shared" si="12"/>
        <v>0</v>
      </c>
    </row>
    <row r="32" spans="1:148" ht="21.5" customHeight="1">
      <c r="A32" s="2041"/>
      <c r="B32" s="929" t="s">
        <v>474</v>
      </c>
      <c r="C32" s="960">
        <f t="shared" si="21"/>
        <v>0</v>
      </c>
      <c r="D32" s="733">
        <f>+F32+H32+J32+L32+N32+P32+R32+T32+V32+X32+Z32+AB32+AD32+AF32</f>
        <v>0</v>
      </c>
      <c r="E32" s="930">
        <f>+G32+I32+K32+M32+O32+Q32+S32+U32+W32+Y32+AA32+AC32+AE32+AG32</f>
        <v>0</v>
      </c>
      <c r="F32" s="722"/>
      <c r="G32" s="723"/>
      <c r="H32" s="722"/>
      <c r="I32" s="723"/>
      <c r="J32" s="722"/>
      <c r="K32" s="723"/>
      <c r="L32" s="722"/>
      <c r="M32" s="723"/>
      <c r="N32" s="722"/>
      <c r="O32" s="723"/>
      <c r="P32" s="722"/>
      <c r="Q32" s="723"/>
      <c r="R32" s="722"/>
      <c r="S32" s="723"/>
      <c r="T32" s="722"/>
      <c r="U32" s="723"/>
      <c r="V32" s="722"/>
      <c r="W32" s="723"/>
      <c r="X32" s="722"/>
      <c r="Y32" s="723"/>
      <c r="Z32" s="722"/>
      <c r="AA32" s="723"/>
      <c r="AB32" s="722"/>
      <c r="AC32" s="723"/>
      <c r="AD32" s="722"/>
      <c r="AE32" s="723"/>
      <c r="AF32" s="852"/>
      <c r="AG32" s="931"/>
      <c r="AH32" s="738"/>
      <c r="AI32" s="723"/>
      <c r="AJ32" s="852"/>
      <c r="AK32" s="723"/>
      <c r="AL32" s="7" t="s">
        <v>204</v>
      </c>
      <c r="CA32" s="142" t="str">
        <f t="shared" si="14"/>
        <v/>
      </c>
      <c r="CB32" s="142" t="str">
        <f t="shared" si="15"/>
        <v/>
      </c>
      <c r="CC32" s="142" t="str">
        <f t="shared" si="16"/>
        <v/>
      </c>
      <c r="CD32" s="142" t="str">
        <f t="shared" si="17"/>
        <v/>
      </c>
      <c r="CE32" s="142" t="str">
        <f>IF($F$32&lt;=$F$30,"","* Pacientes 15 a 19 años (Hombres) con HbA1C&lt;7% - PA&lt;140/90mmHg debe ser menor o igual a los con HbA1C&lt;7%. ")</f>
        <v/>
      </c>
      <c r="CF32" s="142" t="str">
        <f>IF($G$32&lt;=$G$30,"","* Pacientes 15 a 19 años (Mujeres) con HbA1C&lt;7% - PA&lt;140/90mmHg debe ser menor o igual a los con HbA1C&lt;7%. ")</f>
        <v/>
      </c>
      <c r="CG32" s="142" t="str">
        <f>IF($H$32&lt;=$H$30,"","* Pacientes 20 a 24 años (Hombres) con HbA1C&lt;7% - PA&lt;140/90mmHg debe ser menor o igual a los con HbA1C&lt;7%. ")</f>
        <v/>
      </c>
      <c r="CH32" s="142" t="str">
        <f>IF($I$32&lt;=$I$30,"","* Pacientes 20 a 24 años (Mujeres) con HbA1C&lt;7% - PA&lt;140/90mmHg debe ser menor o igual a los con HbA1C&lt;7%. ")</f>
        <v/>
      </c>
      <c r="CI32" s="142" t="str">
        <f>IF($J$32&lt;=$J$30,"","* Pacientes 25 a 29 años (Hombres) con HbA1C&lt;7% - PA&lt;140/90mmHg debe ser menor o igual a los con HbA1C&lt;7%. ")</f>
        <v/>
      </c>
      <c r="CJ32" s="142" t="str">
        <f>IF($K$32&lt;=$K$30,"","* Pacientes 25 a 29 años (Mujeres) con HbA1C&lt;7% - PA&lt;140/90mmHg debe ser menor o igual a los con HbA1C&lt;7%. ")</f>
        <v/>
      </c>
      <c r="CK32" s="142" t="str">
        <f>IF($L$32&lt;=$L$30,"","* Pacientes 30 a 34 años (Hombres) con HbA1C&lt;7% - PA&lt;140/90mmHg debe ser menor o igual a los con HbA1C&lt;7%. ")</f>
        <v/>
      </c>
      <c r="CL32" s="142" t="str">
        <f>IF($M$32&lt;=$M$30,"","* Pacientes 30 a 34 años (Mujeres) con HbA1C&lt;7% - PA&lt;140/90mmHg debe ser menor o igual a los con HbA1C&lt;7%. ")</f>
        <v/>
      </c>
      <c r="CM32" s="142" t="str">
        <f>IF($N$32&lt;=$N$30,"","* Pacientes 35 a 39 años (Hombres) con HbA1C&lt;7% - PA&lt;140/90mmHg debe ser menor o igual a los con HbA1C&lt;7%. ")</f>
        <v/>
      </c>
      <c r="CN32" s="142" t="str">
        <f>IF($O$32&lt;=$O$30,"","* Pacientes 35 a 39 años (Mujeres) con HbA1C&lt;7% - PA&lt;140/90mmHg debe ser menor o igual a los con HbA1C&lt;7%. ")</f>
        <v/>
      </c>
      <c r="CO32" s="142" t="str">
        <f>IF($P$32&lt;=$P$30,"","* Pacientes 40 a 44 años (Hombres) con HbA1C&lt;7% - PA&lt;140/90mmHg debe ser menor o igual a los con HbA1C&lt;7%. ")</f>
        <v/>
      </c>
      <c r="CP32" s="142" t="str">
        <f>IF($Q$32&lt;=$Q$30,"","* Pacientes 40 a 44 años (Mujeres) con HbA1C&lt;7% - PA&lt;140/90mmHg debe ser menor o igual a los con HbA1C&lt;7%. ")</f>
        <v/>
      </c>
      <c r="CQ32" s="142" t="str">
        <f>IF($R$32&lt;=$R$30,"","* Pacientes 45 a 49 años (Hombres) con HbA1C&lt;7% - PA&lt;140/90mmHg debe ser menor o igual a los con HbA1C&lt;7%. ")</f>
        <v/>
      </c>
      <c r="CR32" s="142" t="str">
        <f>IF($S$32&lt;=$S$30,"","* Pacientes 45 a 49 años (Mujeres) con HbA1C&lt;7% - PA&lt;140/90mmHg debe ser menor o igual a los con HbA1C&lt;7%. ")</f>
        <v/>
      </c>
      <c r="CS32" s="142" t="str">
        <f>IF($T$32&lt;=$T$30,"","* Pacientes 50 a 54 años (Hombres) con HbA1C&lt;7% - PA&lt;140/90mmHg debe ser menor o igual a los con HbA1C&lt;7%. ")</f>
        <v/>
      </c>
      <c r="CT32" s="142" t="str">
        <f>IF($U$32&lt;=$U$30,"","* Pacientes 50 a 54 años (Mujeres) con HbA1C&lt;7% - PA&lt;140/90mmHg debe ser menor o igual a los con HbA1C&lt;7%. ")</f>
        <v/>
      </c>
      <c r="CU32" s="142" t="str">
        <f>IF($V$32&lt;=$V$30,"","* Pacientes 55 a 59 años (Hombres) con HbA1C&lt;7% - PA&lt;140/90mmHg debe ser menor o igual a los con HbA1C&lt;7%. ")</f>
        <v/>
      </c>
      <c r="CV32" s="142" t="str">
        <f>IF($W$32&lt;=$W$30,"","* Pacientes 55 a 59 años (Mujeres) con HbA1C&lt;7% - PA&lt;140/90mmHg debe ser menor o igual a los con HbA1C&lt;7%. ")</f>
        <v/>
      </c>
      <c r="CW32" s="142" t="str">
        <f>IF($X$32&lt;=$X$30,"","* Pacientes 60 a 64 años (Hombres) con HbA1C&lt;7% - PA&lt;140/90mmHg debe ser menor o igual a los con HbA1C&lt;7%. ")</f>
        <v/>
      </c>
      <c r="CX32" s="142" t="str">
        <f>IF($Y$32&lt;=$Y$30,"","* Pacientes 60 a 64 años (Mujeres) con HbA1C&lt;7% - PA&lt;140/90mmHg debe ser menor o igual a los con HbA1C&lt;7%. ")</f>
        <v/>
      </c>
      <c r="CY32" s="142" t="str">
        <f>IF($Z$32&lt;=$Z$30,"","* Pacientes 65 a 69 años (Hombres) con HbA1C&lt;7% - PA&lt;140/90mmHg debe ser menor o igual a los con HbA1C&lt;7%. ")</f>
        <v/>
      </c>
      <c r="CZ32" s="142" t="str">
        <f>IF($AA$32&lt;=$AA$30,"","* Pacientes 65 a 69 años (Mujeres) con HbA1C&lt;7% - PA&lt;140/90mmHg debe ser menor o igual a los con HbA1C&lt;7%. ")</f>
        <v/>
      </c>
      <c r="DA32" s="142" t="str">
        <f>IF($AB$32&lt;=$AB$30,"","* Pacientes 70 a 74 años (Hombres) con HbA1C&lt;7% - PA&lt;140/90mmHg debe ser menor o igual a los con HbA1C&lt;7%. ")</f>
        <v/>
      </c>
      <c r="DB32" s="142" t="str">
        <f>IF($AC$32&lt;=$AC$30,"","* Pacientes 70 a 74 años (Mujeres) con HbA1C&lt;7% - PA&lt;140/90mmHg debe ser menor o igual a los con HbA1C&lt;7%. ")</f>
        <v/>
      </c>
      <c r="DC32" s="142" t="str">
        <f>IF($AD$32&lt;=$AD$30,"","* Pacientes 75 a 79 años (Hombres) con HbA1C&lt;7% - PA&lt;140/90mmHg debe ser menor o igual a los con HbA1C&lt;7%. ")</f>
        <v/>
      </c>
      <c r="DD32" s="142" t="str">
        <f>IF($AE$32&lt;=$AE$30,"","* Pacientes 75 a 79 años (Mujeres) con HbA1C&lt;7% - PA&lt;140/70mmHg debe ser menor o igual a los con HbA1C&lt;7%. ")</f>
        <v/>
      </c>
      <c r="DK32" s="34">
        <f t="shared" si="18"/>
        <v>0</v>
      </c>
      <c r="DL32" s="34">
        <f t="shared" si="19"/>
        <v>0</v>
      </c>
      <c r="DM32" s="34">
        <f>IF($D$32&gt;=$AH$32,0,1)</f>
        <v>0</v>
      </c>
      <c r="DN32" s="34">
        <f t="shared" si="20"/>
        <v>0</v>
      </c>
      <c r="DO32" s="34">
        <f t="shared" si="11"/>
        <v>0</v>
      </c>
      <c r="DP32" s="34">
        <f t="shared" si="12"/>
        <v>0</v>
      </c>
      <c r="DQ32" s="34">
        <f t="shared" ref="DQ32:EP32" si="23">IF(F$32&lt;=F$30,0,1)</f>
        <v>0</v>
      </c>
      <c r="DR32" s="34">
        <f t="shared" si="23"/>
        <v>0</v>
      </c>
      <c r="DS32" s="34">
        <f t="shared" si="23"/>
        <v>0</v>
      </c>
      <c r="DT32" s="34">
        <f t="shared" si="23"/>
        <v>0</v>
      </c>
      <c r="DU32" s="34">
        <f t="shared" si="23"/>
        <v>0</v>
      </c>
      <c r="DV32" s="34">
        <f t="shared" si="23"/>
        <v>0</v>
      </c>
      <c r="DW32" s="34">
        <f t="shared" si="23"/>
        <v>0</v>
      </c>
      <c r="DX32" s="34">
        <f t="shared" si="23"/>
        <v>0</v>
      </c>
      <c r="DY32" s="34">
        <f t="shared" si="23"/>
        <v>0</v>
      </c>
      <c r="DZ32" s="34">
        <f t="shared" si="23"/>
        <v>0</v>
      </c>
      <c r="EA32" s="34">
        <f t="shared" si="23"/>
        <v>0</v>
      </c>
      <c r="EB32" s="34">
        <f t="shared" si="23"/>
        <v>0</v>
      </c>
      <c r="EC32" s="34">
        <f t="shared" si="23"/>
        <v>0</v>
      </c>
      <c r="ED32" s="34">
        <f t="shared" si="23"/>
        <v>0</v>
      </c>
      <c r="EE32" s="34">
        <f t="shared" si="23"/>
        <v>0</v>
      </c>
      <c r="EF32" s="34">
        <f t="shared" si="23"/>
        <v>0</v>
      </c>
      <c r="EG32" s="34">
        <f t="shared" si="23"/>
        <v>0</v>
      </c>
      <c r="EH32" s="34">
        <f t="shared" si="23"/>
        <v>0</v>
      </c>
      <c r="EI32" s="34">
        <f t="shared" si="23"/>
        <v>0</v>
      </c>
      <c r="EJ32" s="34">
        <f t="shared" si="23"/>
        <v>0</v>
      </c>
      <c r="EK32" s="34">
        <f t="shared" si="23"/>
        <v>0</v>
      </c>
      <c r="EL32" s="34">
        <f t="shared" si="23"/>
        <v>0</v>
      </c>
      <c r="EM32" s="34">
        <f t="shared" si="23"/>
        <v>0</v>
      </c>
      <c r="EN32" s="34">
        <f t="shared" si="23"/>
        <v>0</v>
      </c>
      <c r="EO32" s="34">
        <f t="shared" si="23"/>
        <v>0</v>
      </c>
      <c r="EP32" s="34">
        <f t="shared" si="23"/>
        <v>0</v>
      </c>
    </row>
    <row r="33" spans="1:148" ht="17" customHeight="1">
      <c r="A33" s="1642" t="s">
        <v>475</v>
      </c>
      <c r="B33" s="963" t="s">
        <v>476</v>
      </c>
      <c r="C33" s="961">
        <f t="shared" si="21"/>
        <v>0</v>
      </c>
      <c r="D33" s="777">
        <f t="shared" ref="D33:E35" si="24">+F33+H33+J33+L33+N33+P33+R33+T33+V33+X33+Z33+AB33+AD33+AF33</f>
        <v>0</v>
      </c>
      <c r="E33" s="932">
        <f t="shared" si="24"/>
        <v>0</v>
      </c>
      <c r="F33" s="748"/>
      <c r="G33" s="749"/>
      <c r="H33" s="748"/>
      <c r="I33" s="749"/>
      <c r="J33" s="748"/>
      <c r="K33" s="749"/>
      <c r="L33" s="748"/>
      <c r="M33" s="749"/>
      <c r="N33" s="748"/>
      <c r="O33" s="749"/>
      <c r="P33" s="748"/>
      <c r="Q33" s="749"/>
      <c r="R33" s="748"/>
      <c r="S33" s="749"/>
      <c r="T33" s="748"/>
      <c r="U33" s="749"/>
      <c r="V33" s="748"/>
      <c r="W33" s="749"/>
      <c r="X33" s="748"/>
      <c r="Y33" s="749"/>
      <c r="Z33" s="748"/>
      <c r="AA33" s="749"/>
      <c r="AB33" s="748"/>
      <c r="AC33" s="749"/>
      <c r="AD33" s="748"/>
      <c r="AE33" s="749"/>
      <c r="AF33" s="795"/>
      <c r="AG33" s="750"/>
      <c r="AH33" s="780"/>
      <c r="AI33" s="749"/>
      <c r="AJ33" s="795"/>
      <c r="AK33" s="749"/>
      <c r="AL33" s="7" t="s">
        <v>204</v>
      </c>
      <c r="CA33" s="142" t="str">
        <f t="shared" si="14"/>
        <v/>
      </c>
      <c r="CB33" s="142" t="str">
        <f t="shared" si="15"/>
        <v/>
      </c>
      <c r="CC33" s="142" t="str">
        <f t="shared" si="16"/>
        <v/>
      </c>
      <c r="CD33" s="142" t="str">
        <f t="shared" si="17"/>
        <v/>
      </c>
      <c r="CE33" s="142" t="str">
        <f>IF($F$33&lt;=$F$15,"","* Pacientes 15 a 19 años (Hombres) con RCV Alto con Colesterol LDL &lt;100 mg/dl no debe ser mayor al Total RCV Alto de Sección A. ")</f>
        <v/>
      </c>
      <c r="CF33" s="142" t="str">
        <f>IF($G$33&lt;=$G$15,"","* Pacientes 15 a 19 años (Mujeres) con RCV Alto con Colesterol LDL &lt;100 mg/dl no debe ser mayor al Total RCV Alto de Sección A. ")</f>
        <v/>
      </c>
      <c r="CG33" s="142" t="str">
        <f>IF($H$33&lt;=+$H$15,"","* Pacientes 20 a 24 años (Hombres) con RCV Alto con Colesterol LDL &lt;100 mg/dl no debe ser mayor al Total RCV Alto de Sección A. ")</f>
        <v/>
      </c>
      <c r="CH33" s="142" t="str">
        <f>IF($I$33&lt;=+$I$15,"","* Pacientes 20 a 24 años (Mujeres) con RCV Alto con Colesterol LDL &lt;100 mg/dl no debe ser mayor al Total RCV Alto de Sección A. ")</f>
        <v/>
      </c>
      <c r="CI33" s="142" t="str">
        <f>IF($J$33&lt;=+$J$15,"","* Pacientes 25 a 29 años (Hombres) con RCV Alto con Colesterol LDL &lt;100 mg/dl no debe ser mayor al Total RCV Alto de Sección A. ")</f>
        <v/>
      </c>
      <c r="CJ33" s="142" t="str">
        <f>IF($K$33&lt;=+$K$15,"","* Pacientes 25 a 29 años (Mujeres) con RCV Alto con Colesterol LDL &lt;100 mg/dl no debe ser mayor al Total RCV Alto de Sección A. ")</f>
        <v/>
      </c>
      <c r="CK33" s="142" t="str">
        <f>IF($L$33&lt;=+$L$15,"","* Pacientes 30 a 34 años (Hombres) con RCV Alto con Colesterol LDL &lt;100 mg/dl no debe ser mayor al Total RCV Alto de Sección A. ")</f>
        <v/>
      </c>
      <c r="CL33" s="142" t="str">
        <f>IF($M$33&lt;=+$M$15,"","* Pacientes 30 a 34 años (Mujeres) con RCV Alto con Colesterol LDL &lt;100 mg/dl no debe ser mayor al Total RCV Alto de Sección A. ")</f>
        <v/>
      </c>
      <c r="CM33" s="142" t="str">
        <f>IF($N$33&lt;=+$N$15,"","* Pacientes 35 a 39 años (Hombres) con RCV Alto con Colesterol LDL &lt;100 mg/dl no debe ser mayor al Total RCV Alto de Sección A. ")</f>
        <v/>
      </c>
      <c r="CN33" s="142" t="str">
        <f>IF($O$33&lt;=+$O$15,"","* Pacientes 35 a 39 años (Mujeres) con RCV Alto con Colesterol LDL &lt;100 mg/dl no debe ser mayor al Total RCV Alto de Sección A. ")</f>
        <v/>
      </c>
      <c r="CO33" s="142" t="str">
        <f>IF($P$33&lt;=+$P$15,"","* Pacientes 40 a 44 años (Hombres) con RCV Alto con Colesterol LDL &lt;100 mg/dl no debe ser mayor al Total RCV Alto de Sección A. ")</f>
        <v/>
      </c>
      <c r="CP33" s="142" t="str">
        <f>IF($Q$33&lt;=+$Q$15,"","* Pacientes 40 a 44 años (Mujeres) con RCV Alto con Colesterol LDL &lt;100 mg/dl no debe ser mayor al Total RCV Alto de Sección A. ")</f>
        <v/>
      </c>
      <c r="CQ33" s="142" t="str">
        <f>IF($R$33&lt;=+$R$15,"","* Pacientes 45 a 49 años (Hombres) con RCV Alto con Colesterol LDL &lt;100 mg/dl no debe ser mayor al Total RCV Alto de Sección A. ")</f>
        <v/>
      </c>
      <c r="CR33" s="142" t="str">
        <f>IF($S$33&lt;=+$S$15,"","* Pacientes 45 a 49 años (Mujeres) con RCV Alto con Colesterol LDL &lt;100 mg/dl no debe ser mayor al Total RCV Alto de Sección A. ")</f>
        <v/>
      </c>
      <c r="CS33" s="142" t="str">
        <f>IF($T$33&lt;=+$T$15,"","* Pacientes 50 a 54 años (Hombres) con RCV Alto con Colesterol LDL &lt;100 mg/dl no debe ser mayor al Total RCV Alto de Sección A. ")</f>
        <v/>
      </c>
      <c r="CT33" s="142" t="str">
        <f>IF($U$33&lt;=+$U$15,"","* Pacientes 50 a 54 años (Mujeres) con RCV Alto con Colesterol LDL &lt;100 mg/dl no debe ser mayor al Total RCV Alto de Sección A. ")</f>
        <v/>
      </c>
      <c r="CU33" s="142" t="str">
        <f>IF($V$33&lt;=+$V$15,"","* Pacientes 55 a 59 años (Hombres) con RCV Alto con Colesterol LDL &lt;100 mg/dl no debe ser mayor al Total RCV Alto de Sección A. ")</f>
        <v/>
      </c>
      <c r="CV33" s="142" t="str">
        <f>IF($W$33&lt;=+$W$15,"","* Pacientes 55 a 59 años (Mujeres) con RCV Alto con Colesterol LDL &lt;100 mg/dl no debe ser mayor al Total RCV Alto de Sección A. ")</f>
        <v/>
      </c>
      <c r="CW33" s="142" t="str">
        <f>IF($X$33&lt;=+$X$15,"","* Pacientes 60 a 64 años (Hombres) con RCV Alto con Colesterol LDL &lt;100 mg/dl no debe ser mayor al Total RCV Alto de Sección A. ")</f>
        <v/>
      </c>
      <c r="CX33" s="142" t="str">
        <f>IF($Y$33&lt;=+$Y$15,"","* Pacientes 60 a 64 años (Mujeres) con RCV Alto con Colesterol LDL &lt;100 mg/dl no debe ser mayor al Total RCV Alto de Sección A. ")</f>
        <v/>
      </c>
      <c r="CY33" s="142" t="str">
        <f>IF($Z$33&lt;=+$Z$15,"","* Pacientes 65 a 69 años (Hombres) con RCV Alto con Colesterol LDL &lt;100 mg/dl no debe ser mayor al Total RCV Alto de Sección A. ")</f>
        <v/>
      </c>
      <c r="CZ33" s="142" t="str">
        <f>IF($AA$33&lt;=+$AA$15,"","* Pacientes 65 a 69 años (Mujeres) con RCV Alto con Colesterol LDL &lt;100 mg/dl no debe ser mayor al Total RCV Alto de Sección A. ")</f>
        <v/>
      </c>
      <c r="DA33" s="142" t="str">
        <f>IF($AB$33&lt;=+$AB$15,"","* Pacientes 70 a 74 años (Hombres) con RCV Alto con Colesterol LDL &lt;100 mg/dl no debe ser mayor al Total RCV Alto de Sección A. ")</f>
        <v/>
      </c>
      <c r="DB33" s="142" t="str">
        <f>IF($AC$33&lt;=+$AC$15,"","* Pacientes 70 a 74 años (Mujeres) con RCV Alto con Colesterol LDL &lt;100 mg/dl no debe ser mayor al Total RCV Alto de Sección A. ")</f>
        <v/>
      </c>
      <c r="DC33" s="142" t="str">
        <f>IF($AD$33&lt;=+$AD$15,"","* Pacientes 75 a 79 años (Hombres) con RCV Alto con Colesterol LDL &lt;100 mg/dl no debe ser mayor al Total RCV Alto de Sección A. ")</f>
        <v/>
      </c>
      <c r="DD33" s="142" t="str">
        <f>IF($AE$33&lt;=+$AE$15,"","* Pacientes 75 a 79 años (Mujeres) con RCV Alto con Colesterol LDL &lt;100 mg/dl no debe ser mayor al Total RCV Alto de Sección A. ")</f>
        <v/>
      </c>
      <c r="DE33" s="142" t="str">
        <f>IF($AF$33&lt;=+$AF$15,"","* Pacientes 80 y más años (Hombres) con RCV Alto con Colesterol LDL &lt;100 mg/dl no debe ser mayor al Total RCV Alto de Sección A. ")</f>
        <v/>
      </c>
      <c r="DF33" s="142" t="str">
        <f>IF($AG$33&lt;=+$AG$15,"","* Pacientes 80 y más años (Mujeres) con RCV Alto con Colesterol LDL &lt;100 mg/dl no debe ser mayor al Total RCV Alto de Sección A. ")</f>
        <v/>
      </c>
      <c r="DK33" s="34">
        <f t="shared" si="18"/>
        <v>0</v>
      </c>
      <c r="DL33" s="34">
        <f t="shared" si="19"/>
        <v>0</v>
      </c>
      <c r="DM33" s="34">
        <f>IF($D$33&gt;=$AH$33,0,1)</f>
        <v>0</v>
      </c>
      <c r="DN33" s="34">
        <f t="shared" si="20"/>
        <v>0</v>
      </c>
      <c r="DO33" s="34">
        <f t="shared" si="11"/>
        <v>0</v>
      </c>
      <c r="DP33" s="34">
        <f t="shared" si="12"/>
        <v>0</v>
      </c>
      <c r="DQ33" s="34">
        <f t="shared" ref="DQ33:ER33" si="25">IF(F$33&lt;=+F$15,0,1)</f>
        <v>0</v>
      </c>
      <c r="DR33" s="34">
        <f t="shared" si="25"/>
        <v>0</v>
      </c>
      <c r="DS33" s="34">
        <f t="shared" si="25"/>
        <v>0</v>
      </c>
      <c r="DT33" s="34">
        <f t="shared" si="25"/>
        <v>0</v>
      </c>
      <c r="DU33" s="34">
        <f t="shared" si="25"/>
        <v>0</v>
      </c>
      <c r="DV33" s="34">
        <f t="shared" si="25"/>
        <v>0</v>
      </c>
      <c r="DW33" s="34">
        <f t="shared" si="25"/>
        <v>0</v>
      </c>
      <c r="DX33" s="34">
        <f t="shared" si="25"/>
        <v>0</v>
      </c>
      <c r="DY33" s="34">
        <f t="shared" si="25"/>
        <v>0</v>
      </c>
      <c r="DZ33" s="34">
        <f t="shared" si="25"/>
        <v>0</v>
      </c>
      <c r="EA33" s="34">
        <f t="shared" si="25"/>
        <v>0</v>
      </c>
      <c r="EB33" s="34">
        <f t="shared" si="25"/>
        <v>0</v>
      </c>
      <c r="EC33" s="34">
        <f t="shared" si="25"/>
        <v>0</v>
      </c>
      <c r="ED33" s="34">
        <f t="shared" si="25"/>
        <v>0</v>
      </c>
      <c r="EE33" s="34">
        <f t="shared" si="25"/>
        <v>0</v>
      </c>
      <c r="EF33" s="34">
        <f t="shared" si="25"/>
        <v>0</v>
      </c>
      <c r="EG33" s="34">
        <f t="shared" si="25"/>
        <v>0</v>
      </c>
      <c r="EH33" s="34">
        <f t="shared" si="25"/>
        <v>0</v>
      </c>
      <c r="EI33" s="34">
        <f t="shared" si="25"/>
        <v>0</v>
      </c>
      <c r="EJ33" s="34">
        <f t="shared" si="25"/>
        <v>0</v>
      </c>
      <c r="EK33" s="34">
        <f t="shared" si="25"/>
        <v>0</v>
      </c>
      <c r="EL33" s="34">
        <f t="shared" si="25"/>
        <v>0</v>
      </c>
      <c r="EM33" s="34">
        <f t="shared" si="25"/>
        <v>0</v>
      </c>
      <c r="EN33" s="34">
        <f t="shared" si="25"/>
        <v>0</v>
      </c>
      <c r="EO33" s="34">
        <f t="shared" si="25"/>
        <v>0</v>
      </c>
      <c r="EP33" s="34">
        <f t="shared" si="25"/>
        <v>0</v>
      </c>
      <c r="EQ33" s="34">
        <f t="shared" si="25"/>
        <v>0</v>
      </c>
      <c r="ER33" s="34">
        <f t="shared" si="25"/>
        <v>0</v>
      </c>
    </row>
    <row r="34" spans="1:148" ht="20.5" customHeight="1">
      <c r="A34" s="2086" t="s">
        <v>477</v>
      </c>
      <c r="B34" s="933" t="s">
        <v>478</v>
      </c>
      <c r="C34" s="952">
        <f t="shared" si="21"/>
        <v>0</v>
      </c>
      <c r="D34" s="740">
        <f t="shared" si="24"/>
        <v>0</v>
      </c>
      <c r="E34" s="934">
        <f t="shared" si="24"/>
        <v>0</v>
      </c>
      <c r="F34" s="751"/>
      <c r="G34" s="752"/>
      <c r="H34" s="751"/>
      <c r="I34" s="752"/>
      <c r="J34" s="751"/>
      <c r="K34" s="752"/>
      <c r="L34" s="751"/>
      <c r="M34" s="752"/>
      <c r="N34" s="751"/>
      <c r="O34" s="752"/>
      <c r="P34" s="751"/>
      <c r="Q34" s="752"/>
      <c r="R34" s="751"/>
      <c r="S34" s="752"/>
      <c r="T34" s="751"/>
      <c r="U34" s="752"/>
      <c r="V34" s="751"/>
      <c r="W34" s="752"/>
      <c r="X34" s="751"/>
      <c r="Y34" s="752"/>
      <c r="Z34" s="751"/>
      <c r="AA34" s="752"/>
      <c r="AB34" s="751"/>
      <c r="AC34" s="752"/>
      <c r="AD34" s="751"/>
      <c r="AE34" s="752"/>
      <c r="AF34" s="789"/>
      <c r="AG34" s="935"/>
      <c r="AH34" s="705"/>
      <c r="AI34" s="700"/>
      <c r="AJ34" s="784"/>
      <c r="AK34" s="700"/>
      <c r="AL34" s="7" t="s">
        <v>204</v>
      </c>
      <c r="CA34" s="142" t="str">
        <f>IF(AND(D34&gt;0,OR(AH34=""))," * No olvide digitar la variable Pueblos Originarios Hombres. Digite Cero si no tiene.",IF(AH34&gt;D34," * La variable Pueblos Originarios Hombres no puede ser Mayor al Total Hombres.",""))</f>
        <v/>
      </c>
      <c r="CB34" s="142" t="str">
        <f t="shared" si="15"/>
        <v/>
      </c>
      <c r="CC34" s="142" t="str">
        <f t="shared" si="16"/>
        <v/>
      </c>
      <c r="CD34" s="142" t="str">
        <f t="shared" si="17"/>
        <v/>
      </c>
      <c r="CE34" s="142" t="str">
        <f>IF($F$34&lt;=$F$20+F21+$F$22,"","* Pacientes 15 a 19 años (Hombres) con antecedentes de ECV en Tratamiento con Antiagregante plaquetario no debe ser mayor a la suma de Personas con Antecedentes de IAM, ACV y ECV de Sección A. ")</f>
        <v/>
      </c>
      <c r="CF34" s="142" t="str">
        <f>IF($G$34&lt;=$G$20+$G$21+$G$22,"","* Pacientes 15 a 19 años (Mujeres) con antecedentes ECV en Tratamiento con Antiagregante plaquetario no debe ser mayor a la suma de Personas con Antecedentes de IAM, ACV y ECV de Sección A. ")</f>
        <v/>
      </c>
      <c r="CG34" s="142" t="str">
        <f>IF($H$34&lt;=$H$20+$H$21+$H$22,"","* Pacientes 20 a 24 años (Hombres) con antecedentes ECV en Tratamiento con Antiagregante plaquetario no debe ser mayor a la suma de Personas con Antecedentes de IAM, ACV y ECV de Sección A. ")</f>
        <v/>
      </c>
      <c r="CH34" s="142" t="str">
        <f>IF($I$34&lt;=$I$20+$I$21+$I$22,"","* Pacientes 20 a 24 años (Mujeres) con antecedentes ECV en Tratamiento con Antiagregante plaquetario no debe ser mayor a la suma de Personas con Antecedentes de IAM, ACV y ECV de Sección A. ")</f>
        <v/>
      </c>
      <c r="CI34" s="142" t="str">
        <f>IF($J$34&lt;=$J$20+J21+$J$22,"","* Pacientes 25 a 29 años (Hombres) con antecedentes ECV en Tratamiento con Antiagregante plaquetario no debe ser mayor a la suma de Personas con Antecedentes de IAM, ACV y ECV de Sección A. ")</f>
        <v/>
      </c>
      <c r="CJ34" s="142" t="str">
        <f>IF($K$34&lt;=$K$20+K21+$K$22,"","* Pacientes 25 a 29 años (Mujeres) con antecedentes ECV en Tratamiento con Antiagregante plaquetario no debe ser mayor a la suma de Personas con Antecedentes de IAM, ACV y ECV de Sección A. ")</f>
        <v/>
      </c>
      <c r="CK34" s="142" t="str">
        <f>IF($L$34&lt;=$L$20+L21+$L$22,"","* Pacientes 30 a 34 años (Hombres) con antecedentes ECV en Tratamiento con Antiagregante plaquetario no debe ser mayor a la suma de Personas con Antecedentes de IAM, ACV y ECV de Sección A. ")</f>
        <v/>
      </c>
      <c r="CL34" s="142" t="str">
        <f>IF($M$34&lt;=$M$20+$M$21+$M$22,"","* Pacientes 30 a 34 años (Mujeres) con antecedentes ECV en Tratamiento con Antiagregante plaquetario no debe ser mayor a la suma de Personas con Antecedentes de IAM, ACV y ECV de Sección A. ")</f>
        <v/>
      </c>
      <c r="CM34" s="142" t="str">
        <f>IF($N$34&lt;=$N$20+$N$21+$N$22,"","* Pacientes 35 a 39 años (Hombres) con antecedentes ECV en Tratamiento con Antiagregante plaquetario no debe ser mayor a la suma de Personas con Antecedentes de IAM, ACV y ECV de Sección A. ")</f>
        <v/>
      </c>
      <c r="CN34" s="142" t="str">
        <f>IF($O$34&lt;=$O$20+$O$21+$O$22,"","* Pacientes 35 a 39 años (Mujeres) con antecedentes ECV en Tratamiento con Antiagregante plaquetario no debe ser mayor a la suma de Personas con Antecedentes de IAM, ACV y ECV de Sección A. ")</f>
        <v/>
      </c>
      <c r="CO34" s="142" t="str">
        <f>IF($P$34&lt;=$P$20+$P$21+$P$22,"","* Pacientes 40 a 44 años (Hombres) con antecedentes ECV en Tratamiento conAntiagregante plaquetario no debe ser mayor a la suma de Personas con Antecedentes de IAM, ACV y ECV de Sección A. ")</f>
        <v/>
      </c>
      <c r="CP34" s="142" t="str">
        <f>IF($Q$34&lt;=$Q$20+$Q$21+$Q$22,"","* Pacientes 40 a 44 años (Mujeres) con antecedentes ECV en Tratamiento con Antiagregante plaquetario no debe ser mayor a la suma de Personas con Antecedentes de IAM, ACV y ECV de Sección A. ")</f>
        <v/>
      </c>
      <c r="CQ34" s="142" t="str">
        <f>IF($R$34&lt;=$R$20+$R$21+$R$22,"","* Pacientes 45 a 49 años (Hombres) con antecedentes ECV en Tratamiento conAntiagregante plaquetario no debe ser mayor a la suma de Personas con Antecedentes de IAM, ACV y ECV de Sección A. ")</f>
        <v/>
      </c>
      <c r="CR34" s="142" t="str">
        <f>IF($S$34&lt;=$S$20+$S$21+$S$22,"","* Pacientes 45 a 49 años (Mujeres) con antecedentes ECV en Tratamiento con Antiagregante plaquetario no debe ser mayor a la suma de Personas con Antecedentes de IAM, ACV y ECV de Sección A. ")</f>
        <v/>
      </c>
      <c r="CS34" s="142" t="str">
        <f>IF($T$34&lt;=$T$20+$T$21+$T$22,"","* Pacientes 50 a 54 años (Hombres) con antecedentes ECV en Tratamiento con Antiagregante plaquetario no debe ser mayor a la suma de Personas con Antecedentes de IAM, ACV y ECV de Sección A. ")</f>
        <v/>
      </c>
      <c r="CT34" s="142" t="str">
        <f>IF($U$34&lt;=$U$20+$U$21+$U$22,"","* Pacientes 50 a 54 años (Mujeres) con antecedentes ECV en Tratamiento con Antiagregante plaquetario no debe ser mayor a la suma de Personas con Antecedentes de IAM, ACV y ECV de Sección A. ")</f>
        <v/>
      </c>
      <c r="CU34" s="142" t="str">
        <f>IF($V$34&lt;=$V$20+$V$21+$V$22,"","* Pacientes 55 a 59 años (Hombres) con antecedentes ECV en Tratamiento con Antiagregante plaquetario no debe ser mayor a la suma de Personas con Antecedentes de IAM, ACV y ECV de Sección A. ")</f>
        <v/>
      </c>
      <c r="CV34" s="142" t="str">
        <f>IF($W$34&lt;=$W$20+$W$21+$W$22,"","* Pacientes 55 a 59 años (Mujeres) con antecedentes ECV en Tratamiento con Antiagregante plaquetario no debe ser mayor a la suma de Personas con Antecedentes de IAM, ACV y ECV de Sección A. ")</f>
        <v/>
      </c>
      <c r="CW34" s="142" t="str">
        <f>IF($X$34&lt;=$X$20+$X$21+$X$22,"","* Pacientes 60 a 64 años (Hombres) con antecedentes ECV en Tratamiento con Antiagregante plaquetario no debe ser mayor a la suma de Personas con Antecedentes de IAM, ACV y ECV de Sección A. ")</f>
        <v/>
      </c>
      <c r="CX34" s="142" t="str">
        <f>IF($Y$34&lt;=$Y$20+$Y$21+$Y$22,"","* Pacientes 60 a 64 años (Mujeres) con antecedentes ECV en Tratamiento con Antiagregante plaquetario no debe ser mayor a la suma de Personas con Antecedentes de IAM, ACV y ECV de Sección A. ")</f>
        <v/>
      </c>
      <c r="CY34" s="142" t="str">
        <f>IF($Z$34&lt;=$Z$20+$Z$21+$Z$22,"","* Pacientes 65 a 69 años (Hombres) con antecedentes ECV en Tratamiento con Antiagregante plaquetario no debe ser mayor a la suma de Personas con Antecedentes de IAM, ACV y ECV de Sección A. ")</f>
        <v/>
      </c>
      <c r="CZ34" s="142" t="str">
        <f>IF($AA$34&lt;=$AA$20+$AA$21+$AA$22,"","* Pacientes 65 a 69 años (Mujeres) con antecedentes ECV en Tratamiento con Antiagregante plaquetario no debe ser mayor a la suma de Personas con Antecedentes de IAM, ACV y ECV de Sección A. ")</f>
        <v/>
      </c>
      <c r="DA34" s="142" t="str">
        <f>IF($AB$34&lt;=$AB$20+$AB$21+$AB$22,"","* Pacientes 70 a 74 años (Hombres) con antecedentes ECV en Tratamiento con Antiagregante plaquetario no debe ser mayor a la suma de Personas con Antecedentes de IAM, ACV y ECV de Sección A. ")</f>
        <v/>
      </c>
      <c r="DB34" s="142" t="str">
        <f>IF($AC$34&lt;=$AC$20+$AC$21+$AC$22,"","* Pacientes 70 a 74 años (Mujeres) con antecedentes ECV en Tratamiento con Antiagregante plaquetario no debe ser mayor a la suma de Personas con Antecedentes de IAM, ACV y ECV de Sección A. ")</f>
        <v/>
      </c>
      <c r="DC34" s="142" t="str">
        <f>IF($AD$34&lt;=$AD$20+$AD$21+$AD$22,"","* Pacientes 75 a 79 años (Hombres) con antecedentes ECV en Tratamiento con Antiagregante plaquetario no debe ser mayor a la suma de Personas con Antecedentes de IAM, ACV y ECV de Sección A. ")</f>
        <v/>
      </c>
      <c r="DD34" s="142" t="str">
        <f>IF($AE$34&lt;=$AE$20+$AE$21+$AE$22,"","* Pacientes 75 a 79 años (Mujeres) con antecedentes ECV en Tratamiento con Antiagregante plaquetario no debe ser mayor a la suma de Personas con Antecedentes de IAM, ACV y ECV de Sección A. ")</f>
        <v/>
      </c>
      <c r="DE34" s="142" t="str">
        <f>IF($AF$34&lt;=$AF$20+$AF$21+$AF$22,"","* Pacientes 80 y más años (Hombres) con antecedentes ECV en Tratamiento con Antiagregante plaquetario no debe ser mayor a la suma de Personas con Antecedentes de IAM, ACV y ECV de Sección A. ")</f>
        <v/>
      </c>
      <c r="DF34" s="142" t="str">
        <f>IF($AG$34&lt;=$AG$20+$AG$21+$AG$22,"","* Pacientes 80 y más años (Mujeres) con antecedentes ECV en Tratamiento con Antiagregante plaquetario no debe ser mayor a la suma de Personas con Antecedentes de IAM, ACV y ECV de Sección A. ")</f>
        <v/>
      </c>
      <c r="DK34" s="34">
        <f t="shared" si="18"/>
        <v>0</v>
      </c>
      <c r="DL34" s="34">
        <f t="shared" si="19"/>
        <v>0</v>
      </c>
      <c r="DM34" s="34">
        <f>IF($D$34&gt;=$AH$34,0,1)</f>
        <v>0</v>
      </c>
      <c r="DN34" s="34">
        <f t="shared" si="20"/>
        <v>0</v>
      </c>
      <c r="DO34" s="34">
        <f t="shared" si="11"/>
        <v>0</v>
      </c>
      <c r="DP34" s="34">
        <f t="shared" si="12"/>
        <v>0</v>
      </c>
      <c r="DQ34" s="34">
        <f>IF(F34&lt;=F$21+F22+F$23,0,1)</f>
        <v>0</v>
      </c>
      <c r="DR34" s="34">
        <f t="shared" ref="DR34:ER34" si="26">IF(G34&lt;=G$21+G22+G$23,0,1)</f>
        <v>0</v>
      </c>
      <c r="DS34" s="34">
        <f t="shared" si="26"/>
        <v>0</v>
      </c>
      <c r="DT34" s="34">
        <f t="shared" si="26"/>
        <v>0</v>
      </c>
      <c r="DU34" s="34">
        <f t="shared" si="26"/>
        <v>0</v>
      </c>
      <c r="DV34" s="34">
        <f t="shared" si="26"/>
        <v>0</v>
      </c>
      <c r="DW34" s="34">
        <f t="shared" si="26"/>
        <v>0</v>
      </c>
      <c r="DX34" s="34">
        <f t="shared" si="26"/>
        <v>0</v>
      </c>
      <c r="DY34" s="34">
        <f t="shared" si="26"/>
        <v>0</v>
      </c>
      <c r="DZ34" s="34">
        <f t="shared" si="26"/>
        <v>0</v>
      </c>
      <c r="EA34" s="34">
        <f t="shared" si="26"/>
        <v>0</v>
      </c>
      <c r="EB34" s="34">
        <f t="shared" si="26"/>
        <v>0</v>
      </c>
      <c r="EC34" s="34">
        <f t="shared" si="26"/>
        <v>0</v>
      </c>
      <c r="ED34" s="34">
        <f t="shared" si="26"/>
        <v>0</v>
      </c>
      <c r="EE34" s="34">
        <f t="shared" si="26"/>
        <v>0</v>
      </c>
      <c r="EF34" s="34">
        <f t="shared" si="26"/>
        <v>0</v>
      </c>
      <c r="EG34" s="34">
        <f t="shared" si="26"/>
        <v>0</v>
      </c>
      <c r="EH34" s="34">
        <f t="shared" si="26"/>
        <v>0</v>
      </c>
      <c r="EI34" s="34">
        <f t="shared" si="26"/>
        <v>0</v>
      </c>
      <c r="EJ34" s="34">
        <f t="shared" si="26"/>
        <v>0</v>
      </c>
      <c r="EK34" s="34">
        <f t="shared" si="26"/>
        <v>0</v>
      </c>
      <c r="EL34" s="34">
        <f t="shared" si="26"/>
        <v>0</v>
      </c>
      <c r="EM34" s="34">
        <f t="shared" si="26"/>
        <v>0</v>
      </c>
      <c r="EN34" s="34">
        <f t="shared" si="26"/>
        <v>0</v>
      </c>
      <c r="EO34" s="34">
        <f t="shared" si="26"/>
        <v>0</v>
      </c>
      <c r="EP34" s="34">
        <f t="shared" si="26"/>
        <v>0</v>
      </c>
      <c r="EQ34" s="34">
        <f t="shared" si="26"/>
        <v>0</v>
      </c>
      <c r="ER34" s="34">
        <f t="shared" si="26"/>
        <v>0</v>
      </c>
    </row>
    <row r="35" spans="1:148" ht="17.5" customHeight="1">
      <c r="A35" s="2087"/>
      <c r="B35" s="933" t="s">
        <v>479</v>
      </c>
      <c r="C35" s="952">
        <f t="shared" si="21"/>
        <v>0</v>
      </c>
      <c r="D35" s="845">
        <f t="shared" si="24"/>
        <v>0</v>
      </c>
      <c r="E35" s="926">
        <f t="shared" si="24"/>
        <v>0</v>
      </c>
      <c r="F35" s="908"/>
      <c r="G35" s="909"/>
      <c r="H35" s="908"/>
      <c r="I35" s="909"/>
      <c r="J35" s="908"/>
      <c r="K35" s="909"/>
      <c r="L35" s="908"/>
      <c r="M35" s="909"/>
      <c r="N35" s="908"/>
      <c r="O35" s="909"/>
      <c r="P35" s="908"/>
      <c r="Q35" s="909"/>
      <c r="R35" s="908"/>
      <c r="S35" s="909"/>
      <c r="T35" s="908"/>
      <c r="U35" s="909"/>
      <c r="V35" s="908"/>
      <c r="W35" s="909"/>
      <c r="X35" s="908"/>
      <c r="Y35" s="909"/>
      <c r="Z35" s="908"/>
      <c r="AA35" s="909"/>
      <c r="AB35" s="908"/>
      <c r="AC35" s="909"/>
      <c r="AD35" s="908"/>
      <c r="AE35" s="909"/>
      <c r="AF35" s="936"/>
      <c r="AG35" s="937"/>
      <c r="AH35" s="911"/>
      <c r="AI35" s="909"/>
      <c r="AJ35" s="936"/>
      <c r="AK35" s="909"/>
      <c r="AL35" s="7" t="s">
        <v>204</v>
      </c>
      <c r="CA35" s="142" t="str">
        <f t="shared" si="14"/>
        <v/>
      </c>
      <c r="CB35" s="142" t="str">
        <f t="shared" si="15"/>
        <v/>
      </c>
      <c r="CC35" s="142" t="str">
        <f t="shared" si="16"/>
        <v/>
      </c>
      <c r="CD35" s="142" t="str">
        <f t="shared" si="17"/>
        <v/>
      </c>
      <c r="CE35" s="142" t="str">
        <f>IF($F35&lt;=$F$20+$F$21+$F$22,"","* Pacientes 15 a 19 años (Hombres) con con antecedentes ECV con Estatina no debe ser mayor a la suma de Personas con Antecedentes de IAM , ACV y ECV de Sección A. ")</f>
        <v/>
      </c>
      <c r="CF35" s="142" t="str">
        <f>IF($G35&lt;=$G$20+$G$21+$G$22,"","* Pacientes 15 a 19 años (Mujeres) con  antecedentes ECV en Tratamiento con Estatina no debe ser mayor a la suma de Personas con Antecedentes de IAM , ACV , ECV de Sección A. ")</f>
        <v/>
      </c>
      <c r="CG35" s="142" t="str">
        <f>IF($H35&lt;=$H$20+$H$21+$H$21,"","* Pacientes 20 a 24 años (Hombres) con  antecedentes ECV con Estatina no debe ser mayor a la suma de Personas con Antecedentes de IAM , ACV, ECV de Sección A. ")</f>
        <v/>
      </c>
      <c r="CH35" s="142" t="str">
        <f>IF($I35&lt;=$I$20+$I$21+ $I$22,"","* Pacientes 20 a 24 años (Mujeres) con antecedentes ECV en Tratamiento con Estatina no debe ser mayor a la suma de Personas con Antecedentes de IAM ,ACV,  ECV de Sección A. ")</f>
        <v/>
      </c>
      <c r="CI35" s="142" t="str">
        <f>IF($J35&lt;=$J$20+$J$21+ $J$22,"","* Pacientes 25 a 29 años (Hombres) con  antecedentes ECV en Tratamiento con Estatina no debe ser mayor a la suma de Personas con Antecedentes de IAM, ACV,ECV de Sección A. ")</f>
        <v/>
      </c>
      <c r="CJ35" s="142" t="str">
        <f>IF($K35&lt;=$K$20+$K$21+$K$22,"","* Pacientes 25 a 29 años (Mujeres) con antecedentes ECV en Tratamiento con Estatina no debe ser mayor a la suma de Personas con Antecedentes de IAM , ACV,ECV de Sección A. ")</f>
        <v/>
      </c>
      <c r="CK35" s="142" t="str">
        <f>IF($L35&lt;=$L$20+$L$21+$L$22,"","* Pacientes 30 a 34 años (Hombres) con antecedentes ECV en Tratamiento con Estatina no debe ser mayor a la suma de Personas con Antecedentes de IAM, ACV, ECV de Sección A. ")</f>
        <v/>
      </c>
      <c r="CL35" s="142" t="str">
        <f>IF($M35&lt;=$M$20+$M$21+ $M$22,"","* Pacientes 30 a 34 años (Mujeres) con antecedentes ECV en Tratamiento con Estatina no debe ser mayor a la suma de Personas con Antecedentes de IAM, ACV, ECV de Sección A. ")</f>
        <v/>
      </c>
      <c r="CM35" s="142" t="str">
        <f>IF($N35&lt;=$N$20+$N$21+$N$22,"","* Pacientes 35 a 39 años (Hombres) con antecedentes ECV en Tratamiento con Estatina no debe ser mayor a la suma de Personas con Antecedentes de IAM, ACV, ECV de Sección A. ")</f>
        <v/>
      </c>
      <c r="CN35" s="142" t="str">
        <f>IF($O35&lt;=$O$20+$O$21+$O$22,"","* Pacientes 35 a 39 años (Mujeres) con  antecedentes ECV en Tratamiento con Estatina no debe ser mayor a la suma de Personas con Antecedentes de IAM, ACV, ECV de Sección A. ")</f>
        <v/>
      </c>
      <c r="CO35" s="142" t="str">
        <f>IF($P35&lt;=$P$20+$P$21+ $P$22,"","* Pacientes 40 a 44 años (Hombres) con antecedentes ECV en Tratamiento con Estatina no debe ser mayor a la suma de Personas con Antecedentes de IAM, ACV, ECV de Sección A. ")</f>
        <v/>
      </c>
      <c r="CP35" s="142" t="str">
        <f>IF($Q35&lt;=$Q$20+$Q$21+$Q$22,"","* Pacientes 40 a 44 años (Mujeres) con antecedentes ECV en Tratamiento con Estatina no debe ser mayor a la suma de Personas con Antecedentes de IAM, ACV, ECV de Sección A. ")</f>
        <v/>
      </c>
      <c r="CQ35" s="142" t="str">
        <f>IF($R35&lt;=$R$20+$R$21+$R$22,"","* Pacientes 45 a 49 años (Hombres) con  antecedentes ECV en Tratamiento con Estatina no debe ser mayor a la suma de Personas con Antecedentes de IAM, ACV,ECV de Sección A. ")</f>
        <v/>
      </c>
      <c r="CR35" s="142" t="str">
        <f>IF($S35&lt;=$S$20+$S$21+$S$22,"","* Pacientes 45 a 49 años (Mujeres) con  antecedentes ECV en Tratamiento con Estatina no debe ser mayor a la suma de Personas con Antecedentes de IAM, ACV, ECV de Sección A. ")</f>
        <v/>
      </c>
      <c r="CS35" s="142" t="str">
        <f>IF($T35&lt;=$T$20+$T$21+$T$22,"","* Pacientes 50 a 54 años (Hombres) con  antecedentes ECV en Tratamiento con Estatina no debe ser mayor a la suma de Personas con Antecedentes de IAM, ACV, ECV de Sección A. ")</f>
        <v/>
      </c>
      <c r="CT35" s="142" t="str">
        <f>IF($U35&lt;=$U$20+$U$21+$U$22,"","* Pacientes 50 a 54 años (Mujeres) con antecedentes ECV en Tratamiento con Estatina no debe ser mayor a la suma de Personas con Antecedentes de IAM, ACV, ECV de Sección A. ")</f>
        <v/>
      </c>
      <c r="CU35" s="142" t="str">
        <f>IF($V35&lt;=$V$20+$V$21+$V$22,"","* Pacientes 55 a 59 años (Hombres) con  antecedentes ECV en Tratamiento con Estatina no debe ser mayor a la suma de Personas con Antecedentes de IAM,ACV, ECV de Sección A. ")</f>
        <v/>
      </c>
      <c r="CV35" s="142" t="str">
        <f>IF($W35&lt;=$W$20+$W$21+$W$22,"","* Pacientes 55 a 59 años (Mujeres) con antecedentes ECV en Tratamiento con Estatina no debe ser mayor a la suma de Personas con Antecedentes de IAM, ACV, ECV de Sección A. ")</f>
        <v/>
      </c>
      <c r="CW35" s="142" t="str">
        <f>IF($X35&lt;=$X$20+$X$21+$X$22,"","* Pacientes 60 a 64 años (Hombres) con antecedentes ECV en Tratamiento con Estatina no debe ser mayor a la suma de Personas con Antecedentes de IAM, ACV,  ECV de Sección A. ")</f>
        <v/>
      </c>
      <c r="CX35" s="142" t="str">
        <f>IF($Y35&lt;=$Y$20+$Y$21+$Y$22,"","* Pacientes 60 a 64 años (Mujeres) con  antecedentes ECV en Tratamiento con Estatina no debe ser mayor a la suma de Personas con Antecedentes de IAM, ACV, ECV de Sección A. ")</f>
        <v/>
      </c>
      <c r="CY35" s="142" t="str">
        <f>IF($Z35&lt;=$Z$20+$Z$21+$Z$22,"","* Pacientes 65 a 69 años (Hombres) con antecedentes ECV en Tratamiento con Estatina no debe ser mayor a la suma de Personas con Antecedentes de IAM, ACV,ECV de Sección A. ")</f>
        <v/>
      </c>
      <c r="CZ35" s="142" t="str">
        <f>IF($AA35&lt;=$AA$20+$AA$21+$AA$22,"","* Pacientes 65 a 69 años (Mujeres) con antecedentes ECV en Tratamiento con Estatina no debe ser mayor a la suma de Personas con Antecedentes de IAM, ACV, ECV de Sección A. ")</f>
        <v/>
      </c>
      <c r="DA35" s="142" t="str">
        <f>IF($AB35&lt;=$AB$20+$AB$21+$AB$22,"","* Pacientes 70 a 74 años (Hombres) con antecedentes ECV en Tratamiento con Estatina no debe ser mayor a la suma de Personas con Antecedentes de IAM, ACV, ECV de Sección A. ")</f>
        <v/>
      </c>
      <c r="DB35" s="142" t="str">
        <f>IF($AC35&lt;=$AC$20+$AC$21+$AC$22,"","* Pacientes 70 a 74 años (Mujeres) con  antecedentes ECV en Tratamiento con Estatina no debe ser mayor a la suma de Personas con Antecedentes de IAM y ECV de Sección A. ")</f>
        <v/>
      </c>
      <c r="DC35" s="142" t="str">
        <f>IF($AD35&lt;=$AD$20+$AD$21+$AD$22,"","* Pacientes 75 a 79 años (Hombres) con  antecedentes ECV en Tratamiento con Estatina no debe ser mayor a la suma de Personas con Antecedentes de IAM, ACV, ECV de Sección A. ")</f>
        <v/>
      </c>
      <c r="DD35" s="142" t="str">
        <f>IF($AE35&lt;=$AE$20+$AE$21+$AE$22,"","* Pacientes 75 a 79 años (Mujeres) con con antecedentes ECV en Tratamiento con Estatina no debe ser mayor a la suma de Personas con Antecedentes de IAM, ACV, ECV de Sección A. ")</f>
        <v/>
      </c>
      <c r="DE35" s="142" t="str">
        <f>IF($AF35&lt;=$AF$20+$AF$21+$AF$22,"","* Pacientes 80 y más años (Hombres) con antecedentes ECV en Tratamiento con Estatina no debe ser mayor a la suma de Personas con Antecedentes de IAM, ACV,ECV de Sección A. ")</f>
        <v/>
      </c>
      <c r="DF35" s="142" t="str">
        <f>IF($AG35&lt;=$AG$20+$AG$22,"","* Pacientes 80 y más años (Mujeres) con antecedentes ECV en Tratamiento con Estatina no debe ser mayor a la suma de Personas con Antecedentes de IAM y ECV de Sección A. ")</f>
        <v/>
      </c>
      <c r="DK35" s="34">
        <f t="shared" si="18"/>
        <v>0</v>
      </c>
      <c r="DL35" s="34">
        <f t="shared" si="19"/>
        <v>0</v>
      </c>
      <c r="DM35" s="34">
        <f>IF($D$36&gt;=$AH$36,0,1)</f>
        <v>0</v>
      </c>
      <c r="DN35" s="34">
        <f t="shared" si="20"/>
        <v>0</v>
      </c>
      <c r="DO35" s="34">
        <f t="shared" si="11"/>
        <v>0</v>
      </c>
      <c r="DP35" s="34">
        <f t="shared" si="12"/>
        <v>0</v>
      </c>
      <c r="DQ35" s="34">
        <f>IF(F35&lt;=F$21+F22+F$23,0,1)</f>
        <v>0</v>
      </c>
      <c r="DR35" s="34">
        <f t="shared" ref="DR35:ER35" si="27">IF(G35&lt;=G$21+G22+G$23,0,1)</f>
        <v>0</v>
      </c>
      <c r="DS35" s="34">
        <f t="shared" si="27"/>
        <v>0</v>
      </c>
      <c r="DT35" s="34">
        <f t="shared" si="27"/>
        <v>0</v>
      </c>
      <c r="DU35" s="34">
        <f t="shared" si="27"/>
        <v>0</v>
      </c>
      <c r="DV35" s="34">
        <f t="shared" si="27"/>
        <v>0</v>
      </c>
      <c r="DW35" s="34">
        <f t="shared" si="27"/>
        <v>0</v>
      </c>
      <c r="DX35" s="34">
        <f t="shared" si="27"/>
        <v>0</v>
      </c>
      <c r="DY35" s="34">
        <f t="shared" si="27"/>
        <v>0</v>
      </c>
      <c r="DZ35" s="34">
        <f t="shared" si="27"/>
        <v>0</v>
      </c>
      <c r="EA35" s="34">
        <f t="shared" si="27"/>
        <v>0</v>
      </c>
      <c r="EB35" s="34">
        <f t="shared" si="27"/>
        <v>0</v>
      </c>
      <c r="EC35" s="34">
        <f t="shared" si="27"/>
        <v>0</v>
      </c>
      <c r="ED35" s="34">
        <f t="shared" si="27"/>
        <v>0</v>
      </c>
      <c r="EE35" s="34">
        <f t="shared" si="27"/>
        <v>0</v>
      </c>
      <c r="EF35" s="34">
        <f t="shared" si="27"/>
        <v>0</v>
      </c>
      <c r="EG35" s="34">
        <f t="shared" si="27"/>
        <v>0</v>
      </c>
      <c r="EH35" s="34">
        <f t="shared" si="27"/>
        <v>0</v>
      </c>
      <c r="EI35" s="34">
        <f t="shared" si="27"/>
        <v>0</v>
      </c>
      <c r="EJ35" s="34">
        <f t="shared" si="27"/>
        <v>0</v>
      </c>
      <c r="EK35" s="34">
        <f t="shared" si="27"/>
        <v>0</v>
      </c>
      <c r="EL35" s="34">
        <f t="shared" si="27"/>
        <v>0</v>
      </c>
      <c r="EM35" s="34">
        <f t="shared" si="27"/>
        <v>0</v>
      </c>
      <c r="EN35" s="34">
        <f t="shared" si="27"/>
        <v>0</v>
      </c>
      <c r="EO35" s="34">
        <f t="shared" si="27"/>
        <v>0</v>
      </c>
      <c r="EP35" s="34">
        <f t="shared" si="27"/>
        <v>0</v>
      </c>
      <c r="EQ35" s="34">
        <f t="shared" si="27"/>
        <v>0</v>
      </c>
      <c r="ER35" s="34">
        <f t="shared" si="27"/>
        <v>0</v>
      </c>
    </row>
    <row r="36" spans="1:148" ht="15" customHeight="1">
      <c r="A36" s="2088"/>
      <c r="B36" s="938" t="s">
        <v>480</v>
      </c>
      <c r="C36" s="952">
        <f t="shared" si="21"/>
        <v>0</v>
      </c>
      <c r="D36" s="733">
        <f>+F36+H36+J36+L36+N36+P36+R36+T36+V36+X36+Z36+AB36+AD36+AF36</f>
        <v>0</v>
      </c>
      <c r="E36" s="930">
        <f>+G36+I36+K36+M36+O36+Q36+S36+U36+W36+Y36+AA36+AC36+AE36+AG36</f>
        <v>0</v>
      </c>
      <c r="F36" s="722"/>
      <c r="G36" s="723"/>
      <c r="H36" s="722"/>
      <c r="I36" s="723"/>
      <c r="J36" s="722"/>
      <c r="K36" s="723"/>
      <c r="L36" s="722"/>
      <c r="M36" s="723"/>
      <c r="N36" s="722"/>
      <c r="O36" s="723"/>
      <c r="P36" s="722"/>
      <c r="Q36" s="723"/>
      <c r="R36" s="722"/>
      <c r="S36" s="723"/>
      <c r="T36" s="722"/>
      <c r="U36" s="723"/>
      <c r="V36" s="722"/>
      <c r="W36" s="723"/>
      <c r="X36" s="722"/>
      <c r="Y36" s="723"/>
      <c r="Z36" s="722"/>
      <c r="AA36" s="723"/>
      <c r="AB36" s="722"/>
      <c r="AC36" s="723"/>
      <c r="AD36" s="722"/>
      <c r="AE36" s="723"/>
      <c r="AF36" s="852"/>
      <c r="AG36" s="931"/>
      <c r="AH36" s="738"/>
      <c r="AI36" s="723"/>
      <c r="AJ36" s="852"/>
      <c r="AK36" s="723"/>
      <c r="AL36" s="7" t="s">
        <v>204</v>
      </c>
      <c r="CA36" s="142" t="str">
        <f t="shared" si="14"/>
        <v/>
      </c>
      <c r="CB36" s="142" t="str">
        <f t="shared" si="15"/>
        <v/>
      </c>
      <c r="CC36" s="142" t="str">
        <f t="shared" si="16"/>
        <v/>
      </c>
      <c r="CD36" s="142" t="str">
        <f t="shared" si="17"/>
        <v/>
      </c>
      <c r="DK36" s="34">
        <f t="shared" si="18"/>
        <v>0</v>
      </c>
      <c r="DL36" s="34">
        <f t="shared" si="19"/>
        <v>0</v>
      </c>
      <c r="DM36" s="34">
        <f>IF($D$36&gt;=$AH$36,0,1)</f>
        <v>0</v>
      </c>
      <c r="DN36" s="34">
        <f t="shared" si="20"/>
        <v>0</v>
      </c>
      <c r="DO36" s="34">
        <f t="shared" si="11"/>
        <v>0</v>
      </c>
      <c r="DP36" s="34">
        <f t="shared" si="12"/>
        <v>0</v>
      </c>
    </row>
    <row r="37" spans="1:148" ht="20.5" customHeight="1">
      <c r="A37" s="2453" t="s">
        <v>481</v>
      </c>
      <c r="B37" s="2454" t="s">
        <v>478</v>
      </c>
      <c r="C37" s="952">
        <f t="shared" si="21"/>
        <v>0</v>
      </c>
      <c r="D37" s="740">
        <f>+F37+H37+J37+L37+N37+P37+R37+T37+V37+X37+Z37+AB37+AD37+AF37</f>
        <v>0</v>
      </c>
      <c r="E37" s="934">
        <f t="shared" ref="E37:E38" si="28">+G37+I37+K37+M37+O37+Q37+S37+U37+W37+Y37+AA37+AC37+AE37+AG37</f>
        <v>0</v>
      </c>
      <c r="F37" s="751"/>
      <c r="G37" s="752"/>
      <c r="H37" s="751"/>
      <c r="I37" s="752"/>
      <c r="J37" s="751"/>
      <c r="K37" s="752"/>
      <c r="L37" s="751"/>
      <c r="M37" s="752"/>
      <c r="N37" s="751"/>
      <c r="O37" s="752"/>
      <c r="P37" s="751"/>
      <c r="Q37" s="752"/>
      <c r="R37" s="751"/>
      <c r="S37" s="752"/>
      <c r="T37" s="751"/>
      <c r="U37" s="752"/>
      <c r="V37" s="751"/>
      <c r="W37" s="752"/>
      <c r="X37" s="751"/>
      <c r="Y37" s="752"/>
      <c r="Z37" s="751"/>
      <c r="AA37" s="752"/>
      <c r="AB37" s="751"/>
      <c r="AC37" s="752"/>
      <c r="AD37" s="751"/>
      <c r="AE37" s="752"/>
      <c r="AF37" s="789"/>
      <c r="AG37" s="935"/>
      <c r="AH37" s="705"/>
      <c r="AI37" s="700"/>
      <c r="AJ37" s="784"/>
      <c r="AK37" s="700"/>
      <c r="AL37" s="7" t="s">
        <v>204</v>
      </c>
      <c r="CA37" s="142" t="str">
        <f t="shared" si="14"/>
        <v/>
      </c>
      <c r="CB37" s="142" t="str">
        <f t="shared" si="15"/>
        <v/>
      </c>
      <c r="CC37" s="142" t="str">
        <f t="shared" si="16"/>
        <v/>
      </c>
      <c r="CD37" s="142" t="str">
        <f t="shared" si="17"/>
        <v/>
      </c>
      <c r="CE37" s="142" t="str">
        <f>IF($F$37&lt;=$F$20,"","* Personas de 15 a 19 años Hombres, con antecedentes IAM En Tratamiento con Antiagregante plaquetario no debe ser mayor a Personas mismo grupo de edad con Antecedentes de IAM de Sección A. ")</f>
        <v/>
      </c>
      <c r="CF37" s="142" t="str">
        <f>IF($G$37&lt;=$G$20,"","* Personas de 15 a 19 años Mujeres, con con antecedentes IAM En Tratamiento con Antiagregante plaquetario no debe ser mayor a Personas mismo grupo de edad con Antecedentes de IAM y ECV de Sección A. ")</f>
        <v/>
      </c>
      <c r="CG37" s="142" t="str">
        <f>IF($H$37&lt;=$H$20,"","* Personas de 20 a 24 años Hombres, con antecedentes IAM En Tratamiento con Antiagregante plaquetario no debe ser mayor a Personas mismo grupo de edad con Antecedentes de IAM de Sección A. ")</f>
        <v/>
      </c>
      <c r="CH37" s="142" t="str">
        <f>IF($I$37&lt;=$I$20,"","* Personas de 20 a 24 años Mujeres, con antecedentes IAM En Tratamiento con Antiagregante plaquetario no debe ser mayor a Personas mismo grupo de edad con Antecedentes de IAM de Sección A. ")</f>
        <v/>
      </c>
      <c r="CI37" s="142" t="str">
        <f>IF($J$37&lt;=$J$20,"","* Personas de 25 a 29 años Hombres, con antecedentes IAM En Tratamiento con Antiagregante plaquetario no debe ser mayor a Personas mismo grupo de edad con Antecedentes de IAM de Sección A. ")</f>
        <v/>
      </c>
      <c r="CJ37" s="142" t="str">
        <f>IF($K$37&lt;=$K$20,"","* Personas de 25 a 29 años Mujeres, con antecedentes IAM En Tratamiento con Antiagregante plaquetario no debe ser mayor a Personas mismo grupo de edad con Antecedentes de IAM de Sección A. ")</f>
        <v/>
      </c>
      <c r="CK37" s="142" t="str">
        <f>IF($L$37&lt;=$L$20,"","* personas de 30 a 34 años Hombres, con antecedentes IAM En Tratamiento con Antiagregante plaquetario no debe ser mayor a Personas mismo grupo de edad con Antecedentes de IAM de Sección A. ")</f>
        <v/>
      </c>
      <c r="CL37" s="142" t="str">
        <f>IF($M$37&lt;=$M$20+$M$22,"","* Personas de 30 a 34 años Mujeres, con antecedentes IAM En Tratamiento con Antiagregante plaquetario no debe ser mayor a Personas mismo grupo de edad con Antecedentes de IAM de Sección A. ")</f>
        <v/>
      </c>
      <c r="CM37" s="142" t="str">
        <f>IF($N$37&lt;=$N$20+$N$22,"","* Personas de 35 a 39 años Hombres, con antecedentes IAM En Tratamiento con Antiagregante plaquetario no debe ser mayor a Personas mismo grupo de edad con Antecedentes de IAM de Sección A. ")</f>
        <v/>
      </c>
      <c r="CN37" s="142" t="str">
        <f>IF($O$37&lt;=$O$20+$O$22,"","* Personas de 35 a 39 años Mujeres, con antecedentes IAM En Tratamiento con Antiagregante plaquetario no debe ser mayor a Personas mismo grupo de edad con Antecedentes de IAM de Sección A. ")</f>
        <v/>
      </c>
      <c r="CO37" s="142" t="str">
        <f>IF($P$37&lt;=$P$20+$P$22,"","* Personas de 40 a 44 años Hombres, con antecedentes IAM En Tratamiento con Antiagregante plaquetario no debe ser mayor a Personas mismo grupo de edad con Antecedentes de IAM de Sección A. ")</f>
        <v/>
      </c>
      <c r="CP37" s="142" t="str">
        <f>IF($Q$37&lt;=$Q$20+$Q$22,"","* Personas de 40 a 44 años Mujeres, con antecedentes IAM En Tratamiento con Antiagregante plaquetario no debe ser mayor a Personas mismo grupo de edad con Antecedentes de IAM de Sección A. ")</f>
        <v/>
      </c>
      <c r="CQ37" s="142" t="str">
        <f>IF($R$37&lt;=$R$20+$R$22,"","* Personas de 45 a 49 años Hombres, con antecedentes IAM En Tratamiento con Antiagregante plaquetario no debe ser mayor a Personas mismo grupo de edad con Antecedentes de IAM de Sección A. ")</f>
        <v/>
      </c>
      <c r="CR37" s="142" t="str">
        <f>IF($S$37&lt;=$S$20+$S$22,"","* Personas de 45 a 49 años Mujeres, con antecedentes IAM En Tratamiento con Antiagregante plaquetario no debe ser mayor a Personas mismo grupo de edad con Antecedentes de IAM de Sección A. ")</f>
        <v/>
      </c>
      <c r="CS37" s="142" t="str">
        <f>IF($T$37&lt;=$T$20+$T$22,"","* Personas de 50 a 54 años Hombres, con antecedentes IAM En Tratamiento con Antiagregante plaquetario no debe ser mayor a Personas mismo grupo de edad con Antecedentes de IAM de Sección A. ")</f>
        <v/>
      </c>
      <c r="CT37" s="142" t="str">
        <f>IF($U$37&lt;=$U$20+$U$22,"","* Personas de 50 a 54 años Mujeres, con antecedentes IAM En Tratamiento con Antiagregante plaquetario no debe ser mayor a Personas mismo grupo de edad con Antecedentes de IAM de Sección A. ")</f>
        <v/>
      </c>
      <c r="CU37" s="142" t="str">
        <f>IF($V$37&lt;=$V$20+$V$22,"","* Personas de 55 a 59 años Hombres, con antecedentes IAM En Tratamiento con Antiagregante plaquetario no debe ser mayor a Personas mismo grupo de edad con Antecedentes de IAM de Sección A. ")</f>
        <v/>
      </c>
      <c r="CV37" s="142" t="str">
        <f>IF($W$37&lt;=$W$20+$W$22,"","* Personas de 55 a 59 años Mujeres, con antecedentes IAM En Tratamiento con Antiagregante plaquetario no debe ser mayor a Personas mismo grupo de edad con Antecedentes de IAM de Sección A. ")</f>
        <v/>
      </c>
      <c r="CW37" s="142" t="str">
        <f>IF($X$37&lt;=$X$20+$X$22,"","* Personas de 60 a 64 años Hombres, con antecedentes IAM En Tratamiento con Antiagregante plaquetario no debe ser mayor a Personas mismo grupo de edad con Antecedentes de IAM de Sección A. ")</f>
        <v/>
      </c>
      <c r="CX37" s="142" t="str">
        <f>IF($Y$37&lt;=$Y$20+$Y$22,"","* Personas de 60 a 64 años Mujeres, con antecedentes IAM En Tratamiento con Antiagregante plaquetario no debe ser mayor a Personas mismo grupo de edad con Antecedentes de IAM de Sección A. ")</f>
        <v/>
      </c>
      <c r="CY37" s="142" t="str">
        <f>IF($Z$37&lt;=$Z$20+$Z$22,"","* Personas de 65 a 69 años Hombres, con antecedentes IAM En Tratamiento con Antiagregante plaquetario no debe ser mayor a Personas mismo grupo de edad con Antecedentes de IAM de Sección A. ")</f>
        <v/>
      </c>
      <c r="CZ37" s="142" t="str">
        <f>IF($AA$37&lt;=$AA$20+$AA$22,"","* Personas de 65 a 69 años Mujeres, con antecedentes IAM En Tratamiento con Antiagregante plaquetario no debe ser mayor a Personas mismo grupo de edad con Antecedentes de IAM de Sección A. ")</f>
        <v/>
      </c>
      <c r="DA37" s="142" t="str">
        <f>IF($AB$37&lt;=$AB$20+$AB$22,"","* Perdonas de 70 a 74 años Hombres, con antecedentes IAM En Tratamiento con Antiagregante plaquetario no debe ser mayor a Personas mismo grupo de edad con Antecedentes de IAM  de Sección A. ")</f>
        <v/>
      </c>
      <c r="DB37" s="142" t="str">
        <f>IF($AC$37&lt;=$AC$20,"","* Personas de 70 a 74 años Mujeres, con antecedentes IAM En Tratamiento con Antiagregante plaquetario no debe ser mayor a Personas mismo grupo de edad con Antecedentes de IAM de Sección A. ")</f>
        <v/>
      </c>
      <c r="DC37" s="142" t="str">
        <f>IF($AD$37&lt;=$AD$20,"","* Personas de 75 a 79 años Hombres, con antecedentes IAM En Tratamiento con Antiagregante plaquetario no debe ser mayor a Personas mismo grupo de edad con Antecedentes de IAM de Sección A. ")</f>
        <v/>
      </c>
      <c r="DD37" s="142" t="str">
        <f>IF($AE$37&lt;=$AE$20,"","* Personas de 75 a 79 años Mujeres, con antecedentes IAM En Tratamiento con Antiagregante plaquetario no debe ser mayor a Personas mismo grupo de edad con Antecedentes de IAM de Sección A. ")</f>
        <v/>
      </c>
      <c r="DE37" s="142" t="str">
        <f>IF($AF$37&lt;=$AF$20,"","* Personas de 80 y más años Hombres, con antecedentes IAM En Tratamiento con Antiagregante plaquetario no debe ser mayor a Personas mismo grupo de edad con Antecedentes de IAM de Sección A. ")</f>
        <v/>
      </c>
      <c r="DF37" s="142" t="str">
        <f>IF($AG$37&lt;=$AG$20,"","* Personas de 80 y más años Mujeres, con antecedentes IAM En Tratamiento con Antiagregante plaquetario no debe ser mayor a Personas mismo grupo de edad con Antecedentes de IAM de Sección A. ")</f>
        <v/>
      </c>
      <c r="DK37" s="34">
        <f t="shared" si="18"/>
        <v>0</v>
      </c>
      <c r="DL37" s="34">
        <f t="shared" si="19"/>
        <v>0</v>
      </c>
      <c r="DM37" s="34">
        <f>IF($D$34&gt;=$AH$34,0,1)</f>
        <v>0</v>
      </c>
      <c r="DN37" s="34">
        <f t="shared" si="20"/>
        <v>0</v>
      </c>
      <c r="DO37" s="34">
        <f t="shared" si="11"/>
        <v>0</v>
      </c>
      <c r="DP37" s="34">
        <f t="shared" si="12"/>
        <v>0</v>
      </c>
      <c r="DQ37" s="34">
        <f>IF(F37&lt;=F$20,0,1)</f>
        <v>0</v>
      </c>
      <c r="DR37" s="34">
        <f t="shared" ref="DR37:EG38" si="29">IF(G37&lt;=G$20,0,1)</f>
        <v>0</v>
      </c>
      <c r="DS37" s="34">
        <f t="shared" si="29"/>
        <v>0</v>
      </c>
      <c r="DT37" s="34">
        <f t="shared" si="29"/>
        <v>0</v>
      </c>
      <c r="DU37" s="34">
        <f t="shared" si="29"/>
        <v>0</v>
      </c>
      <c r="DV37" s="34">
        <f t="shared" si="29"/>
        <v>0</v>
      </c>
      <c r="DW37" s="34">
        <f t="shared" si="29"/>
        <v>0</v>
      </c>
      <c r="DX37" s="34">
        <f t="shared" si="29"/>
        <v>0</v>
      </c>
      <c r="DY37" s="34">
        <f t="shared" si="29"/>
        <v>0</v>
      </c>
      <c r="DZ37" s="34">
        <f t="shared" si="29"/>
        <v>0</v>
      </c>
      <c r="EA37" s="34">
        <f t="shared" si="29"/>
        <v>0</v>
      </c>
      <c r="EB37" s="34">
        <f t="shared" si="29"/>
        <v>0</v>
      </c>
      <c r="EC37" s="34">
        <f t="shared" si="29"/>
        <v>0</v>
      </c>
      <c r="ED37" s="34">
        <f t="shared" si="29"/>
        <v>0</v>
      </c>
      <c r="EE37" s="34">
        <f t="shared" si="29"/>
        <v>0</v>
      </c>
      <c r="EF37" s="34">
        <f t="shared" si="29"/>
        <v>0</v>
      </c>
      <c r="EG37" s="34">
        <f t="shared" si="29"/>
        <v>0</v>
      </c>
      <c r="EH37" s="34">
        <f t="shared" ref="EH37:ER38" si="30">IF(W37&lt;=W$20,0,1)</f>
        <v>0</v>
      </c>
      <c r="EI37" s="34">
        <f t="shared" si="30"/>
        <v>0</v>
      </c>
      <c r="EJ37" s="34">
        <f t="shared" si="30"/>
        <v>0</v>
      </c>
      <c r="EK37" s="34">
        <f t="shared" si="30"/>
        <v>0</v>
      </c>
      <c r="EL37" s="34">
        <f t="shared" si="30"/>
        <v>0</v>
      </c>
      <c r="EM37" s="34">
        <f t="shared" si="30"/>
        <v>0</v>
      </c>
      <c r="EN37" s="34">
        <f t="shared" si="30"/>
        <v>0</v>
      </c>
      <c r="EO37" s="34">
        <f t="shared" si="30"/>
        <v>0</v>
      </c>
      <c r="EP37" s="34">
        <f t="shared" si="30"/>
        <v>0</v>
      </c>
      <c r="EQ37" s="34">
        <f>IF(AF37&lt;=AF$20,0,1)</f>
        <v>0</v>
      </c>
      <c r="ER37" s="34">
        <f t="shared" si="30"/>
        <v>0</v>
      </c>
    </row>
    <row r="38" spans="1:148" ht="17" customHeight="1">
      <c r="A38" s="2455"/>
      <c r="B38" s="2454" t="s">
        <v>479</v>
      </c>
      <c r="C38" s="952">
        <f t="shared" si="21"/>
        <v>0</v>
      </c>
      <c r="D38" s="845">
        <f t="shared" ref="D38" si="31">+F38+H38+J38+L38+N38+P38+R38+T38+V38+X38+Z38+AB38+AD38+AF38</f>
        <v>0</v>
      </c>
      <c r="E38" s="926">
        <f t="shared" si="28"/>
        <v>0</v>
      </c>
      <c r="F38" s="908"/>
      <c r="G38" s="909"/>
      <c r="H38" s="908"/>
      <c r="I38" s="909"/>
      <c r="J38" s="908"/>
      <c r="K38" s="909"/>
      <c r="L38" s="908"/>
      <c r="M38" s="909"/>
      <c r="N38" s="908"/>
      <c r="O38" s="909"/>
      <c r="P38" s="908"/>
      <c r="Q38" s="909"/>
      <c r="R38" s="908"/>
      <c r="S38" s="909"/>
      <c r="T38" s="908"/>
      <c r="U38" s="909"/>
      <c r="V38" s="908"/>
      <c r="W38" s="909"/>
      <c r="X38" s="908"/>
      <c r="Y38" s="909"/>
      <c r="Z38" s="908"/>
      <c r="AA38" s="909"/>
      <c r="AB38" s="908"/>
      <c r="AC38" s="909"/>
      <c r="AD38" s="908"/>
      <c r="AE38" s="909"/>
      <c r="AF38" s="936"/>
      <c r="AG38" s="937"/>
      <c r="AH38" s="911"/>
      <c r="AI38" s="909"/>
      <c r="AJ38" s="936"/>
      <c r="AK38" s="909"/>
      <c r="AL38" s="7" t="s">
        <v>204</v>
      </c>
      <c r="CA38" s="142" t="str">
        <f t="shared" si="14"/>
        <v/>
      </c>
      <c r="CB38" s="142" t="str">
        <f t="shared" si="15"/>
        <v/>
      </c>
      <c r="CC38" s="142" t="str">
        <f t="shared" si="16"/>
        <v/>
      </c>
      <c r="CD38" s="142" t="str">
        <f t="shared" si="17"/>
        <v/>
      </c>
      <c r="CE38" s="142" t="str">
        <f>IF($F38&lt;=$F$20,"","* Personas de 15 a 19 años Hombres, con antecedentes IAM En tratamiento con Estatina no debe ser mayor a Personas mismo grupo de edad con Antecedentes de IAM de Sección A. ")</f>
        <v/>
      </c>
      <c r="CF38" s="142" t="str">
        <f>IF($G38&lt;=$G$20,"","* Personas de 15 a 19 años Mujeres, con antecedentes IAM En Tratamiento con Estatina no debe ser mayor a Personas mismo grupo de edad con Antecedentes de IAM y ECV de Sección A. ")</f>
        <v/>
      </c>
      <c r="CG38" s="142" t="str">
        <f>IF($H38&lt;=$H$20,"","* Personas de 20 a 24 años Hombres, con con antecedentes IAM En Tratamiento con Estatina no debe ser mayor a Personas mismo grupo de edad con Antecedentes de IAM de Sección A. ")</f>
        <v/>
      </c>
      <c r="CH38" s="142" t="str">
        <f>IF($I38&lt;=$I$20,"","* Personas de 20 a 24 años Mujeres, con antecedentes IAM En Tratamiento con Estatina no debe ser mayor a Personas mismo grupo de edad con Antecedentes de IAM de Sección A. ")</f>
        <v/>
      </c>
      <c r="CI38" s="142" t="str">
        <f>IF($J38&lt;=$J$20,"","* Personas de 25 a 29 años Hombres, con antecedentes IAM En Tratamiento con Estatina no debe ser mayor a Personas mismo grupo de edad con Antecedentes de IAM de Sección A. ")</f>
        <v/>
      </c>
      <c r="CJ38" s="142" t="str">
        <f>IF($K38&lt;=$K$20,"","* Personas de 25 a 29 años Mujeres, con antecedentes IAM En Tratamiento con Estatina no debe ser mayor a Personas mismo grupo de edad con Antecedentes de IAM de Sección A. ")</f>
        <v/>
      </c>
      <c r="CK38" s="142" t="str">
        <f>IF($L38&lt;=$L$20,"","* Personas de 30 a 34 años Hombres, con antecedentes IAM En Tratamiento con Estatina no debe ser mayor a Personas mismo grupo de edad con Antecedentes de IAM de Sección A. ")</f>
        <v/>
      </c>
      <c r="CL38" s="142" t="str">
        <f>IF($M38&lt;=$M$20+$M$22,"","* Personas de 30 a 34 años Mujeres, con antecedentes IAM En Tratamiento con Estatina no debe ser mayor a Personas mismo grupo de edad con Antecedentes de IAM de Sección A. ")</f>
        <v/>
      </c>
      <c r="CM38" s="142" t="str">
        <f>IF($N38&lt;=$N$20+$N$22,"","* Personas de 35 a 39 años Hombres, con antecedentes IAM En Tratamiento con Estatina no debe ser mayor a Personas mismo grupo de edad con Antecedentes de IAM de Sección A. ")</f>
        <v/>
      </c>
      <c r="CN38" s="142" t="str">
        <f>IF($O38&lt;=$O$20+$O$22,"","* Persona de 35 a 39 años Mujeres, con antecedentes IAM En Tratamiento con Estatina no debe ser mayor a Personas mismo grupo de edad con Antecedentes de IAM de Sección A. ")</f>
        <v/>
      </c>
      <c r="CO38" s="142" t="str">
        <f>IF($P38&lt;=$P$20+$P$22,"","* Personas de 40 a 44 años Hombres, con antecedentes IAM En Tratamiento con Estatina no debe ser mayor a Personas mismo grupo de edad con Antecedentes de IAM de Sección A. ")</f>
        <v/>
      </c>
      <c r="CP38" s="142" t="str">
        <f>IF($Q38&lt;=$Q$20+$Q$22,"","* Personas de 40 a 44 años Mujeres, con antecedentes IAM En Tratamiento con Estatina no debe ser mayor a Personas mismo grupo de edad con Antecedentes de IAM de Sección A. ")</f>
        <v/>
      </c>
      <c r="CQ38" s="142" t="str">
        <f>IF($R38&lt;=$R$20+$R$22,"","* Personas de 45 a 49 años Hombres, con antecedentes IAM En Tratamiento con Estatina no debe ser mayor a Personas mismo grupo de edad con Antecedentes de IAM de Sección A. ")</f>
        <v/>
      </c>
      <c r="CR38" s="142" t="str">
        <f>IF($S38&lt;=$S$20+$S$22,"","* Personas de 45 a 49 años Mujeres, con antecedentes IAM En Tratamiento con Estatina no debe ser mayor a Personas mismo grupo de edad con Antecedentes de IAM de Sección A. ")</f>
        <v/>
      </c>
      <c r="CS38" s="142" t="str">
        <f>IF($T38&lt;=$T$20+$T$22,"","* Personas de 50 a 54 años Hombres, con antecedentes IAM En Tratamiento con Estatina no debe ser mayor a Personas mismo grupo de edad con Antecedentes de IAM de Sección A. ")</f>
        <v/>
      </c>
      <c r="CT38" s="142" t="str">
        <f>IF($U38&lt;=$U$20+$U$22,"","* Personas de 50 a 54 años Mujeres, con antecedentes IAM En Tratamiento con Estatina no debe ser mayor a Personas mismo grupo de edad con Antecedentes de IAM de Sección A. ")</f>
        <v/>
      </c>
      <c r="CU38" s="142" t="str">
        <f>IF($V38&lt;=$V$20+$V$22,"","* Personas de 55 a 59 años Hombres, con antecedentes IAM En Tratamiento con Estatina no debe ser mayor a Personas mismo grupo de edad con Antecedentes de IAM de Sección A. ")</f>
        <v/>
      </c>
      <c r="CV38" s="142" t="str">
        <f>IF($W38&lt;=$W$20+$W$22,"","* Personas de 55 a 59 años Mujeres, con antecedentes IAM En Tratamiento con Estatina no debe ser mayor a Personas mismo grupo de edad con Antecedentes de IAM de Sección A. ")</f>
        <v/>
      </c>
      <c r="CW38" s="142" t="str">
        <f>IF($X38&lt;=$X$20+$X$22,"","* Personas de 60 a 64 años Hombres, con antecedentes IAM En Tratamiento con Estatina no debe ser mayor a Personas mismo grupo de edad con Antecedentes de IAM de Sección A. ")</f>
        <v/>
      </c>
      <c r="CX38" s="142" t="str">
        <f>IF($Y38&lt;=$Y$20+$Y$22,"","* Personas de 60 a 64 años Mujeres, con antecedentes IAM En Tratamiento con Estatina no debe ser mayor a Personas mismo grupo de edad con Antecedentes de IAM de Sección A. ")</f>
        <v/>
      </c>
      <c r="CY38" s="142" t="str">
        <f>IF($Z38&lt;=$Z$20+$Z$22,"","* Personas de 65 a 69 años Hombres, con antecedentes IAM En Tratamiento con Estatina no debe ser mayor a Personas mismo grupo de edad con Antecedentes de IAM de Sección A. ")</f>
        <v/>
      </c>
      <c r="CZ38" s="142" t="str">
        <f>IF($AA38&lt;=$AA$20+$AA$22,"","* Personas de 65 a 69 años Mujeres, con antecedentes IAM En Tratamiento con Estatina no debe ser mayor a Personas mismo grupo de edad con Antecedentes de IAM de Sección A. ")</f>
        <v/>
      </c>
      <c r="DA38" s="142" t="str">
        <f>IF($AB38&lt;=$AB$20+$AB$22,"","* Personas de 70 a 74 años Hombres, con antecedentes IAM En Tratamiento con Estatina no debe ser mayor a Personas mismo grupo de edad con Antecedentes de IAM de Sección A. ")</f>
        <v/>
      </c>
      <c r="DB38" s="142" t="str">
        <f>IF($AC38&lt;=$AC$20,"","* Personas de 70 a 74 años Mujeres, con antecedentes IAM En Tratamiento con Estatina no debe ser mayor a Personas mismo grupo de edad con Antecedentes de IAM de Sección A. ")</f>
        <v/>
      </c>
      <c r="DC38" s="142" t="str">
        <f>IF($AD38&lt;=$AD$20,"","* personas de 75 a 79 años Hombres, con antecedentes IAM En Tratamiento con Estatina no debe ser mayor a Personas mismo grupo de edad con Antecedentes de IAM de Sección A. ")</f>
        <v/>
      </c>
      <c r="DD38" s="142" t="str">
        <f>IF($AE38&lt;=$AE$20,"","* Personas de 75 a 79 años Mujeres, con antecedentes IAM En Tratamiento con Estatina no debe ser mayor a Personas mismo grupo de edad con Antecedentes de IAM de Sección A. ")</f>
        <v/>
      </c>
      <c r="DE38" s="142" t="str">
        <f>IF($AF38&lt;=$AF$20,"","* Personas de 80 y más años Hombres, con antecedentes IAM En Tratamiento con Estatina no debe ser mayor a Personas mismo grupo de edad con Antecedentes de IAM de Sección A. ")</f>
        <v/>
      </c>
      <c r="DF38" s="142" t="str">
        <f>IF($AG38&lt;=$AG$20,"","* Personas de 80 y más años Mujeres, con antecedentes IAM En Tratamiento con Estatina no debe ser mayor a Personas mismo grupo de edad con Antecedentes de IAM de Sección A. ")</f>
        <v/>
      </c>
      <c r="DK38" s="34">
        <f t="shared" si="18"/>
        <v>0</v>
      </c>
      <c r="DL38" s="34">
        <f t="shared" si="19"/>
        <v>0</v>
      </c>
      <c r="DM38" s="34">
        <f>IF($D$36&gt;=$AH$36,0,1)</f>
        <v>0</v>
      </c>
      <c r="DN38" s="34">
        <f t="shared" si="20"/>
        <v>0</v>
      </c>
      <c r="DO38" s="34">
        <f t="shared" si="11"/>
        <v>0</v>
      </c>
      <c r="DP38" s="34">
        <f t="shared" si="12"/>
        <v>0</v>
      </c>
      <c r="DQ38" s="34">
        <f>IF(F38&lt;=F$20,0,1)</f>
        <v>0</v>
      </c>
      <c r="DR38" s="34">
        <f t="shared" si="29"/>
        <v>0</v>
      </c>
      <c r="DS38" s="34">
        <f t="shared" si="29"/>
        <v>0</v>
      </c>
      <c r="DT38" s="34">
        <f t="shared" si="29"/>
        <v>0</v>
      </c>
      <c r="DU38" s="34">
        <f t="shared" si="29"/>
        <v>0</v>
      </c>
      <c r="DV38" s="34">
        <f t="shared" si="29"/>
        <v>0</v>
      </c>
      <c r="DW38" s="34">
        <f t="shared" si="29"/>
        <v>0</v>
      </c>
      <c r="DX38" s="34">
        <f t="shared" si="29"/>
        <v>0</v>
      </c>
      <c r="DY38" s="34">
        <f t="shared" si="29"/>
        <v>0</v>
      </c>
      <c r="DZ38" s="34">
        <f t="shared" si="29"/>
        <v>0</v>
      </c>
      <c r="EA38" s="34">
        <f t="shared" si="29"/>
        <v>0</v>
      </c>
      <c r="EB38" s="34">
        <f t="shared" si="29"/>
        <v>0</v>
      </c>
      <c r="EC38" s="34">
        <f t="shared" si="29"/>
        <v>0</v>
      </c>
      <c r="ED38" s="34">
        <f t="shared" si="29"/>
        <v>0</v>
      </c>
      <c r="EE38" s="34">
        <f t="shared" si="29"/>
        <v>0</v>
      </c>
      <c r="EF38" s="34">
        <f t="shared" si="29"/>
        <v>0</v>
      </c>
      <c r="EG38" s="34">
        <f t="shared" si="29"/>
        <v>0</v>
      </c>
      <c r="EH38" s="34">
        <f t="shared" si="30"/>
        <v>0</v>
      </c>
      <c r="EI38" s="34">
        <f t="shared" si="30"/>
        <v>0</v>
      </c>
      <c r="EJ38" s="34">
        <f t="shared" si="30"/>
        <v>0</v>
      </c>
      <c r="EK38" s="34">
        <f t="shared" si="30"/>
        <v>0</v>
      </c>
      <c r="EL38" s="34">
        <f t="shared" si="30"/>
        <v>0</v>
      </c>
      <c r="EM38" s="34">
        <f t="shared" si="30"/>
        <v>0</v>
      </c>
      <c r="EN38" s="34">
        <f t="shared" si="30"/>
        <v>0</v>
      </c>
      <c r="EO38" s="34">
        <f t="shared" si="30"/>
        <v>0</v>
      </c>
      <c r="EP38" s="34">
        <f t="shared" si="30"/>
        <v>0</v>
      </c>
      <c r="EQ38" s="34">
        <f t="shared" si="30"/>
        <v>0</v>
      </c>
      <c r="ER38" s="34">
        <f t="shared" si="30"/>
        <v>0</v>
      </c>
    </row>
    <row r="39" spans="1:148" ht="15" customHeight="1">
      <c r="A39" s="2456"/>
      <c r="B39" s="2457" t="s">
        <v>480</v>
      </c>
      <c r="C39" s="952">
        <f t="shared" si="21"/>
        <v>0</v>
      </c>
      <c r="D39" s="733">
        <f>+F39+H39+J39+L39+N39+P39+R39+T39+V39+X39+Z39+AB39+AD39+AF39</f>
        <v>0</v>
      </c>
      <c r="E39" s="930">
        <f>+G39+I39+K39+M39+O39+Q39+S39+U39+W39+Y39+AA39+AC39+AE39+AG39</f>
        <v>0</v>
      </c>
      <c r="F39" s="722"/>
      <c r="G39" s="723"/>
      <c r="H39" s="722"/>
      <c r="I39" s="723"/>
      <c r="J39" s="722"/>
      <c r="K39" s="723"/>
      <c r="L39" s="722"/>
      <c r="M39" s="723"/>
      <c r="N39" s="722"/>
      <c r="O39" s="723"/>
      <c r="P39" s="722"/>
      <c r="Q39" s="723"/>
      <c r="R39" s="722"/>
      <c r="S39" s="723"/>
      <c r="T39" s="722"/>
      <c r="U39" s="723"/>
      <c r="V39" s="722"/>
      <c r="W39" s="723"/>
      <c r="X39" s="722"/>
      <c r="Y39" s="723"/>
      <c r="Z39" s="722"/>
      <c r="AA39" s="723"/>
      <c r="AB39" s="722"/>
      <c r="AC39" s="723"/>
      <c r="AD39" s="722"/>
      <c r="AE39" s="723"/>
      <c r="AF39" s="852"/>
      <c r="AG39" s="931"/>
      <c r="AH39" s="738"/>
      <c r="AI39" s="723"/>
      <c r="AJ39" s="852"/>
      <c r="AK39" s="723"/>
      <c r="AL39" s="7" t="s">
        <v>204</v>
      </c>
      <c r="CA39" s="142" t="str">
        <f t="shared" si="14"/>
        <v/>
      </c>
      <c r="CB39" s="142" t="str">
        <f t="shared" si="15"/>
        <v/>
      </c>
      <c r="CC39" s="142" t="str">
        <f t="shared" si="16"/>
        <v/>
      </c>
      <c r="CD39" s="142" t="str">
        <f t="shared" si="17"/>
        <v/>
      </c>
      <c r="DK39" s="34">
        <f t="shared" si="18"/>
        <v>0</v>
      </c>
      <c r="DL39" s="34">
        <f t="shared" si="19"/>
        <v>0</v>
      </c>
      <c r="DM39" s="34">
        <f>IF($D$36&gt;=$AH$36,0,1)</f>
        <v>0</v>
      </c>
      <c r="DN39" s="34">
        <f t="shared" si="20"/>
        <v>0</v>
      </c>
      <c r="DO39" s="34">
        <f t="shared" si="11"/>
        <v>0</v>
      </c>
      <c r="DP39" s="34">
        <f t="shared" si="12"/>
        <v>0</v>
      </c>
    </row>
    <row r="40" spans="1:148" ht="20.5" customHeight="1">
      <c r="A40" s="2453" t="s">
        <v>482</v>
      </c>
      <c r="B40" s="2454" t="s">
        <v>478</v>
      </c>
      <c r="C40" s="952">
        <f t="shared" si="21"/>
        <v>0</v>
      </c>
      <c r="D40" s="740">
        <f t="shared" ref="D40:E41" si="32">+F40+H40+J40+L40+N40+P40+R40+T40+V40+X40+Z40+AB40+AD40+AF40</f>
        <v>0</v>
      </c>
      <c r="E40" s="934">
        <f t="shared" si="32"/>
        <v>0</v>
      </c>
      <c r="F40" s="751"/>
      <c r="G40" s="752"/>
      <c r="H40" s="751"/>
      <c r="I40" s="752"/>
      <c r="J40" s="751"/>
      <c r="K40" s="752"/>
      <c r="L40" s="751"/>
      <c r="M40" s="752"/>
      <c r="N40" s="751"/>
      <c r="O40" s="752"/>
      <c r="P40" s="751"/>
      <c r="Q40" s="752"/>
      <c r="R40" s="751"/>
      <c r="S40" s="752"/>
      <c r="T40" s="751"/>
      <c r="U40" s="752"/>
      <c r="V40" s="751"/>
      <c r="W40" s="752"/>
      <c r="X40" s="751"/>
      <c r="Y40" s="752"/>
      <c r="Z40" s="751"/>
      <c r="AA40" s="752"/>
      <c r="AB40" s="751"/>
      <c r="AC40" s="752"/>
      <c r="AD40" s="751"/>
      <c r="AE40" s="752"/>
      <c r="AF40" s="789"/>
      <c r="AG40" s="935"/>
      <c r="AH40" s="705"/>
      <c r="AI40" s="700"/>
      <c r="AJ40" s="784"/>
      <c r="AK40" s="700"/>
      <c r="AL40" s="7" t="s">
        <v>204</v>
      </c>
      <c r="CA40" s="142" t="str">
        <f t="shared" si="14"/>
        <v/>
      </c>
      <c r="CB40" s="142" t="str">
        <f t="shared" si="15"/>
        <v/>
      </c>
      <c r="CC40" s="142" t="str">
        <f t="shared" si="16"/>
        <v/>
      </c>
      <c r="CD40" s="142" t="str">
        <f t="shared" si="17"/>
        <v/>
      </c>
      <c r="CE40" s="142" t="str">
        <f>IF(F$40&lt;=F$21,"","* Personas de 15 a 19 años Hombres, con antecedentes ACV En Tratamiento con Antiagregante plaquetario no debe ser mayor a la suma de Personas con Antecedentes de ACV de Sección A. ")</f>
        <v/>
      </c>
      <c r="CF40" s="142" t="str">
        <f t="shared" ref="CF40:DE40" si="33">IF(G$40&lt;=G$21,"","* Personas de 15 a 19 años Hombres, con antecedentes ACV En Tratamiento con Antiagregante plaquetario no debe ser mayor a la suma de Personas con Antecedentes de ACV de Sección A. ")</f>
        <v/>
      </c>
      <c r="CG40" s="142" t="str">
        <f t="shared" si="33"/>
        <v/>
      </c>
      <c r="CH40" s="142" t="str">
        <f t="shared" si="33"/>
        <v/>
      </c>
      <c r="CI40" s="142" t="str">
        <f t="shared" si="33"/>
        <v/>
      </c>
      <c r="CJ40" s="142" t="str">
        <f t="shared" si="33"/>
        <v/>
      </c>
      <c r="CK40" s="142" t="str">
        <f t="shared" si="33"/>
        <v/>
      </c>
      <c r="CL40" s="142" t="str">
        <f t="shared" si="33"/>
        <v/>
      </c>
      <c r="CM40" s="142" t="str">
        <f t="shared" si="33"/>
        <v/>
      </c>
      <c r="CN40" s="142" t="str">
        <f t="shared" si="33"/>
        <v/>
      </c>
      <c r="CO40" s="142" t="str">
        <f t="shared" si="33"/>
        <v/>
      </c>
      <c r="CP40" s="142" t="str">
        <f t="shared" si="33"/>
        <v/>
      </c>
      <c r="CQ40" s="142" t="str">
        <f t="shared" si="33"/>
        <v/>
      </c>
      <c r="CR40" s="142" t="str">
        <f t="shared" si="33"/>
        <v/>
      </c>
      <c r="CS40" s="142" t="str">
        <f t="shared" si="33"/>
        <v/>
      </c>
      <c r="CT40" s="142" t="str">
        <f t="shared" si="33"/>
        <v/>
      </c>
      <c r="CU40" s="142" t="str">
        <f t="shared" si="33"/>
        <v/>
      </c>
      <c r="CV40" s="142" t="str">
        <f t="shared" si="33"/>
        <v/>
      </c>
      <c r="CW40" s="142" t="str">
        <f t="shared" si="33"/>
        <v/>
      </c>
      <c r="CX40" s="142" t="str">
        <f t="shared" si="33"/>
        <v/>
      </c>
      <c r="CY40" s="142" t="str">
        <f t="shared" si="33"/>
        <v/>
      </c>
      <c r="CZ40" s="142" t="str">
        <f t="shared" si="33"/>
        <v/>
      </c>
      <c r="DA40" s="142" t="str">
        <f t="shared" si="33"/>
        <v/>
      </c>
      <c r="DB40" s="142" t="str">
        <f t="shared" si="33"/>
        <v/>
      </c>
      <c r="DC40" s="142" t="str">
        <f t="shared" si="33"/>
        <v/>
      </c>
      <c r="DD40" s="142" t="str">
        <f t="shared" si="33"/>
        <v/>
      </c>
      <c r="DE40" s="142" t="str">
        <f t="shared" si="33"/>
        <v/>
      </c>
      <c r="DF40" s="142" t="str">
        <f>IF(AG$40&lt;=AG$21,"","* Personas de 15 a 19 años Hombres, con antecedentes ACV En Tratamiento con Antiagregante plaquetario no debe ser mayor a la suma de Personas con Antecedentes de ACV de Sección A. ")</f>
        <v/>
      </c>
      <c r="DK40" s="34">
        <f t="shared" si="18"/>
        <v>0</v>
      </c>
      <c r="DL40" s="34">
        <f t="shared" si="19"/>
        <v>0</v>
      </c>
      <c r="DM40" s="34">
        <f>IF($D$34&gt;=$AH$34,0,1)</f>
        <v>0</v>
      </c>
      <c r="DN40" s="34">
        <f t="shared" si="20"/>
        <v>0</v>
      </c>
      <c r="DO40" s="34">
        <f t="shared" si="11"/>
        <v>0</v>
      </c>
      <c r="DP40" s="34">
        <f t="shared" si="12"/>
        <v>0</v>
      </c>
      <c r="DQ40" s="34">
        <f>IF(F40&lt;=F$21,0,1)</f>
        <v>0</v>
      </c>
      <c r="DR40" s="34">
        <f t="shared" ref="DR40:EG41" si="34">IF(G40&lt;=G$21,0,1)</f>
        <v>0</v>
      </c>
      <c r="DS40" s="34">
        <f t="shared" si="34"/>
        <v>0</v>
      </c>
      <c r="DT40" s="34">
        <f t="shared" si="34"/>
        <v>0</v>
      </c>
      <c r="DU40" s="34">
        <f t="shared" si="34"/>
        <v>0</v>
      </c>
      <c r="DV40" s="34">
        <f t="shared" si="34"/>
        <v>0</v>
      </c>
      <c r="DW40" s="34">
        <f t="shared" si="34"/>
        <v>0</v>
      </c>
      <c r="DX40" s="34">
        <f t="shared" si="34"/>
        <v>0</v>
      </c>
      <c r="DY40" s="34">
        <f t="shared" si="34"/>
        <v>0</v>
      </c>
      <c r="DZ40" s="34">
        <f t="shared" si="34"/>
        <v>0</v>
      </c>
      <c r="EA40" s="34">
        <f t="shared" si="34"/>
        <v>0</v>
      </c>
      <c r="EB40" s="34">
        <f t="shared" si="34"/>
        <v>0</v>
      </c>
      <c r="EC40" s="34">
        <f t="shared" si="34"/>
        <v>0</v>
      </c>
      <c r="ED40" s="34">
        <f t="shared" si="34"/>
        <v>0</v>
      </c>
      <c r="EE40" s="34">
        <f t="shared" si="34"/>
        <v>0</v>
      </c>
      <c r="EF40" s="34">
        <f t="shared" si="34"/>
        <v>0</v>
      </c>
      <c r="EG40" s="34">
        <f t="shared" si="34"/>
        <v>0</v>
      </c>
      <c r="EH40" s="34">
        <f t="shared" ref="EH40:ER41" si="35">IF(W40&lt;=W$21,0,1)</f>
        <v>0</v>
      </c>
      <c r="EI40" s="34">
        <f t="shared" si="35"/>
        <v>0</v>
      </c>
      <c r="EJ40" s="34">
        <f t="shared" si="35"/>
        <v>0</v>
      </c>
      <c r="EK40" s="34">
        <f t="shared" si="35"/>
        <v>0</v>
      </c>
      <c r="EL40" s="34">
        <f t="shared" si="35"/>
        <v>0</v>
      </c>
      <c r="EM40" s="34">
        <f t="shared" si="35"/>
        <v>0</v>
      </c>
      <c r="EN40" s="34">
        <f t="shared" si="35"/>
        <v>0</v>
      </c>
      <c r="EO40" s="34">
        <f t="shared" si="35"/>
        <v>0</v>
      </c>
      <c r="EP40" s="34">
        <f t="shared" si="35"/>
        <v>0</v>
      </c>
      <c r="EQ40" s="34">
        <f t="shared" si="35"/>
        <v>0</v>
      </c>
      <c r="ER40" s="34">
        <f t="shared" si="35"/>
        <v>0</v>
      </c>
    </row>
    <row r="41" spans="1:148" ht="15" customHeight="1">
      <c r="A41" s="2455"/>
      <c r="B41" s="2454" t="s">
        <v>479</v>
      </c>
      <c r="C41" s="952">
        <f t="shared" si="21"/>
        <v>0</v>
      </c>
      <c r="D41" s="845">
        <f t="shared" si="32"/>
        <v>0</v>
      </c>
      <c r="E41" s="926">
        <f t="shared" si="32"/>
        <v>0</v>
      </c>
      <c r="F41" s="908"/>
      <c r="G41" s="909"/>
      <c r="H41" s="908"/>
      <c r="I41" s="909"/>
      <c r="J41" s="908"/>
      <c r="K41" s="909"/>
      <c r="L41" s="908"/>
      <c r="M41" s="909"/>
      <c r="N41" s="908"/>
      <c r="O41" s="909"/>
      <c r="P41" s="908"/>
      <c r="Q41" s="909"/>
      <c r="R41" s="908"/>
      <c r="S41" s="909"/>
      <c r="T41" s="908"/>
      <c r="U41" s="909"/>
      <c r="V41" s="908"/>
      <c r="W41" s="909"/>
      <c r="X41" s="908"/>
      <c r="Y41" s="909"/>
      <c r="Z41" s="908"/>
      <c r="AA41" s="909"/>
      <c r="AB41" s="908"/>
      <c r="AC41" s="909"/>
      <c r="AD41" s="908"/>
      <c r="AE41" s="909"/>
      <c r="AF41" s="936"/>
      <c r="AG41" s="937"/>
      <c r="AH41" s="911"/>
      <c r="AI41" s="909"/>
      <c r="AJ41" s="936"/>
      <c r="AK41" s="909"/>
      <c r="AL41" s="7" t="s">
        <v>204</v>
      </c>
      <c r="CA41" s="142" t="str">
        <f t="shared" si="14"/>
        <v/>
      </c>
      <c r="CB41" s="142" t="str">
        <f t="shared" si="15"/>
        <v/>
      </c>
      <c r="CC41" s="142" t="str">
        <f t="shared" si="16"/>
        <v/>
      </c>
      <c r="CD41" s="142" t="str">
        <f t="shared" si="17"/>
        <v/>
      </c>
      <c r="CE41" s="142" t="str">
        <f>IF(F41&lt;=F$21,"","* Personas de 15 a 19 años Hombres, con antecedentes ACV En Tratamiento con Estatina no debe ser mayor a la suma de Personas con Antecedentes de ACV de Sección A. ")</f>
        <v/>
      </c>
      <c r="CF41" s="142" t="str">
        <f t="shared" ref="CF41:DF41" si="36">IF(G41&lt;=G$21,"","* Personas de 15 a 19 años Hombres, con antecedentes ACV En Tratamiento con Estatina no debe ser mayor a la suma de Personas con Antecedentes de ACV de Sección A. ")</f>
        <v/>
      </c>
      <c r="CG41" s="142" t="str">
        <f t="shared" si="36"/>
        <v/>
      </c>
      <c r="CH41" s="142" t="str">
        <f t="shared" si="36"/>
        <v/>
      </c>
      <c r="CI41" s="142" t="str">
        <f t="shared" si="36"/>
        <v/>
      </c>
      <c r="CJ41" s="142" t="str">
        <f t="shared" si="36"/>
        <v/>
      </c>
      <c r="CK41" s="142" t="str">
        <f t="shared" si="36"/>
        <v/>
      </c>
      <c r="CL41" s="142" t="str">
        <f t="shared" si="36"/>
        <v/>
      </c>
      <c r="CM41" s="142" t="str">
        <f t="shared" si="36"/>
        <v/>
      </c>
      <c r="CN41" s="142" t="str">
        <f t="shared" si="36"/>
        <v/>
      </c>
      <c r="CO41" s="142" t="str">
        <f t="shared" si="36"/>
        <v/>
      </c>
      <c r="CP41" s="142" t="str">
        <f t="shared" si="36"/>
        <v/>
      </c>
      <c r="CQ41" s="142" t="str">
        <f t="shared" si="36"/>
        <v/>
      </c>
      <c r="CR41" s="142" t="str">
        <f t="shared" si="36"/>
        <v/>
      </c>
      <c r="CS41" s="142" t="str">
        <f t="shared" si="36"/>
        <v/>
      </c>
      <c r="CT41" s="142" t="str">
        <f t="shared" si="36"/>
        <v/>
      </c>
      <c r="CU41" s="142" t="str">
        <f t="shared" si="36"/>
        <v/>
      </c>
      <c r="CV41" s="142" t="str">
        <f t="shared" si="36"/>
        <v/>
      </c>
      <c r="CW41" s="142" t="str">
        <f t="shared" si="36"/>
        <v/>
      </c>
      <c r="CX41" s="142" t="str">
        <f t="shared" si="36"/>
        <v/>
      </c>
      <c r="CY41" s="142" t="str">
        <f t="shared" si="36"/>
        <v/>
      </c>
      <c r="CZ41" s="142" t="str">
        <f t="shared" si="36"/>
        <v/>
      </c>
      <c r="DA41" s="142" t="str">
        <f t="shared" si="36"/>
        <v/>
      </c>
      <c r="DB41" s="142" t="str">
        <f t="shared" si="36"/>
        <v/>
      </c>
      <c r="DC41" s="142" t="str">
        <f t="shared" si="36"/>
        <v/>
      </c>
      <c r="DD41" s="142" t="str">
        <f t="shared" si="36"/>
        <v/>
      </c>
      <c r="DE41" s="142" t="str">
        <f>IF(AF41&lt;=AF$21,"","* Personas de 15 a 19 años Hombres, con antecedentes ACV En Tratamiento con Estatina no debe ser mayor a la suma de Personas con Antecedentes de ACV de Sección A. ")</f>
        <v/>
      </c>
      <c r="DF41" s="142" t="str">
        <f t="shared" si="36"/>
        <v/>
      </c>
      <c r="DK41" s="34">
        <f t="shared" si="18"/>
        <v>0</v>
      </c>
      <c r="DL41" s="34">
        <f t="shared" si="19"/>
        <v>0</v>
      </c>
      <c r="DM41" s="34">
        <f>IF($D$36&gt;=$AH$36,0,1)</f>
        <v>0</v>
      </c>
      <c r="DN41" s="34">
        <f t="shared" si="20"/>
        <v>0</v>
      </c>
      <c r="DO41" s="34">
        <f t="shared" si="11"/>
        <v>0</v>
      </c>
      <c r="DP41" s="34">
        <f t="shared" si="12"/>
        <v>0</v>
      </c>
      <c r="DQ41" s="34">
        <f>IF(F41&lt;=F$21,0,1)</f>
        <v>0</v>
      </c>
      <c r="DR41" s="34">
        <f t="shared" si="34"/>
        <v>0</v>
      </c>
      <c r="DS41" s="34">
        <f t="shared" si="34"/>
        <v>0</v>
      </c>
      <c r="DT41" s="34">
        <f t="shared" si="34"/>
        <v>0</v>
      </c>
      <c r="DU41" s="34">
        <f t="shared" si="34"/>
        <v>0</v>
      </c>
      <c r="DV41" s="34">
        <f t="shared" si="34"/>
        <v>0</v>
      </c>
      <c r="DW41" s="34">
        <f t="shared" si="34"/>
        <v>0</v>
      </c>
      <c r="DX41" s="34">
        <f t="shared" si="34"/>
        <v>0</v>
      </c>
      <c r="DY41" s="34">
        <f t="shared" si="34"/>
        <v>0</v>
      </c>
      <c r="DZ41" s="34">
        <f t="shared" si="34"/>
        <v>0</v>
      </c>
      <c r="EA41" s="34">
        <f t="shared" si="34"/>
        <v>0</v>
      </c>
      <c r="EB41" s="34">
        <f t="shared" si="34"/>
        <v>0</v>
      </c>
      <c r="EC41" s="34">
        <f t="shared" si="34"/>
        <v>0</v>
      </c>
      <c r="ED41" s="34">
        <f t="shared" si="34"/>
        <v>0</v>
      </c>
      <c r="EE41" s="34">
        <f t="shared" si="34"/>
        <v>0</v>
      </c>
      <c r="EF41" s="34">
        <f t="shared" si="34"/>
        <v>0</v>
      </c>
      <c r="EG41" s="34">
        <f t="shared" si="34"/>
        <v>0</v>
      </c>
      <c r="EH41" s="34">
        <f t="shared" si="35"/>
        <v>0</v>
      </c>
      <c r="EI41" s="34">
        <f t="shared" si="35"/>
        <v>0</v>
      </c>
      <c r="EJ41" s="34">
        <f t="shared" si="35"/>
        <v>0</v>
      </c>
      <c r="EK41" s="34">
        <f t="shared" si="35"/>
        <v>0</v>
      </c>
      <c r="EL41" s="34">
        <f t="shared" si="35"/>
        <v>0</v>
      </c>
      <c r="EM41" s="34">
        <f t="shared" si="35"/>
        <v>0</v>
      </c>
      <c r="EN41" s="34">
        <f t="shared" si="35"/>
        <v>0</v>
      </c>
      <c r="EO41" s="34">
        <f t="shared" si="35"/>
        <v>0</v>
      </c>
      <c r="EP41" s="34">
        <f t="shared" si="35"/>
        <v>0</v>
      </c>
      <c r="EQ41" s="34">
        <f t="shared" si="35"/>
        <v>0</v>
      </c>
      <c r="ER41" s="34">
        <f t="shared" si="35"/>
        <v>0</v>
      </c>
    </row>
    <row r="42" spans="1:148" ht="15" customHeight="1">
      <c r="A42" s="2456"/>
      <c r="B42" s="2457" t="s">
        <v>480</v>
      </c>
      <c r="C42" s="1643">
        <f t="shared" si="21"/>
        <v>0</v>
      </c>
      <c r="D42" s="733">
        <f>+F42+H42+J42+L42+N42+P42+R42+T42+V42+X42+Z42+AB42+AD42+AF42</f>
        <v>0</v>
      </c>
      <c r="E42" s="930">
        <f>+G42+I42+K42+M42+O42+Q42+S42+U42+W42+Y42+AA42+AC42+AE42+AG42</f>
        <v>0</v>
      </c>
      <c r="F42" s="722"/>
      <c r="G42" s="723"/>
      <c r="H42" s="722"/>
      <c r="I42" s="723"/>
      <c r="J42" s="722"/>
      <c r="K42" s="723"/>
      <c r="L42" s="722"/>
      <c r="M42" s="723"/>
      <c r="N42" s="722"/>
      <c r="O42" s="723"/>
      <c r="P42" s="722"/>
      <c r="Q42" s="723"/>
      <c r="R42" s="722"/>
      <c r="S42" s="723"/>
      <c r="T42" s="722"/>
      <c r="U42" s="723"/>
      <c r="V42" s="722"/>
      <c r="W42" s="723"/>
      <c r="X42" s="722"/>
      <c r="Y42" s="723"/>
      <c r="Z42" s="722"/>
      <c r="AA42" s="723"/>
      <c r="AB42" s="722"/>
      <c r="AC42" s="723"/>
      <c r="AD42" s="722"/>
      <c r="AE42" s="723"/>
      <c r="AF42" s="852"/>
      <c r="AG42" s="931"/>
      <c r="AH42" s="738"/>
      <c r="AI42" s="723"/>
      <c r="AJ42" s="852"/>
      <c r="AK42" s="723"/>
      <c r="AL42" s="7" t="s">
        <v>204</v>
      </c>
      <c r="CA42" s="142" t="str">
        <f t="shared" si="14"/>
        <v/>
      </c>
      <c r="CB42" s="142" t="str">
        <f t="shared" si="15"/>
        <v/>
      </c>
      <c r="CC42" s="142" t="str">
        <f t="shared" si="16"/>
        <v/>
      </c>
      <c r="CD42" s="142" t="str">
        <f t="shared" si="17"/>
        <v/>
      </c>
      <c r="DK42" s="34">
        <f t="shared" si="18"/>
        <v>0</v>
      </c>
      <c r="DL42" s="34">
        <f t="shared" si="19"/>
        <v>0</v>
      </c>
      <c r="DM42" s="34">
        <f>IF($D$36&gt;=$AH$36,0,1)</f>
        <v>0</v>
      </c>
      <c r="DN42" s="34">
        <f t="shared" si="20"/>
        <v>0</v>
      </c>
      <c r="DO42" s="34">
        <f t="shared" si="11"/>
        <v>0</v>
      </c>
      <c r="DP42" s="34">
        <f t="shared" si="12"/>
        <v>0</v>
      </c>
    </row>
    <row r="43" spans="1:148" ht="17.149999999999999" customHeight="1">
      <c r="A43" s="1620" t="s">
        <v>483</v>
      </c>
      <c r="B43" s="939"/>
      <c r="C43" s="940"/>
      <c r="D43" s="800"/>
      <c r="E43" s="800"/>
      <c r="F43" s="800"/>
      <c r="G43" s="800"/>
      <c r="H43" s="800"/>
      <c r="I43" s="800"/>
      <c r="J43" s="800"/>
      <c r="K43" s="800"/>
      <c r="L43" s="800"/>
      <c r="M43" s="800"/>
      <c r="N43" s="800"/>
      <c r="O43" s="800"/>
      <c r="P43" s="800"/>
      <c r="Q43" s="800"/>
      <c r="AK43" s="1644"/>
    </row>
    <row r="44" spans="1:148" ht="20.25" customHeight="1">
      <c r="A44" s="2062" t="s">
        <v>484</v>
      </c>
      <c r="B44" s="2063"/>
      <c r="C44" s="2068" t="s">
        <v>334</v>
      </c>
      <c r="D44" s="2069"/>
      <c r="E44" s="2070"/>
      <c r="F44" s="2074" t="s">
        <v>354</v>
      </c>
      <c r="G44" s="2075"/>
      <c r="H44" s="2075"/>
      <c r="I44" s="2075"/>
      <c r="J44" s="2075"/>
      <c r="K44" s="2075"/>
      <c r="L44" s="2075"/>
      <c r="M44" s="2075"/>
      <c r="N44" s="2075"/>
      <c r="O44" s="2075"/>
      <c r="P44" s="2075"/>
      <c r="Q44" s="2075"/>
      <c r="R44" s="2075"/>
      <c r="S44" s="2075"/>
      <c r="T44" s="2075"/>
      <c r="U44" s="2075"/>
      <c r="V44" s="2075"/>
      <c r="W44" s="2075"/>
      <c r="X44" s="2075"/>
      <c r="Y44" s="2075"/>
      <c r="Z44" s="2075"/>
      <c r="AA44" s="2075"/>
      <c r="AB44" s="2075"/>
      <c r="AC44" s="2075"/>
      <c r="AD44" s="2075"/>
      <c r="AE44" s="2075"/>
      <c r="AF44" s="2075"/>
      <c r="AG44" s="2029"/>
      <c r="AH44" s="2076" t="s">
        <v>7</v>
      </c>
      <c r="AI44" s="2077"/>
      <c r="AJ44" s="2079" t="s">
        <v>261</v>
      </c>
      <c r="AK44" s="2080"/>
      <c r="CA44" s="2049"/>
      <c r="CB44" s="2049"/>
      <c r="CC44" s="2049"/>
      <c r="CD44" s="2049"/>
      <c r="CI44" s="2049"/>
      <c r="CJ44" s="2049"/>
      <c r="DK44" s="2049"/>
      <c r="DL44" s="2049"/>
      <c r="DM44" s="2049"/>
      <c r="DN44" s="2049"/>
      <c r="DU44" s="1619"/>
      <c r="DV44" s="1619"/>
    </row>
    <row r="45" spans="1:148" ht="18.75" customHeight="1">
      <c r="A45" s="2064"/>
      <c r="B45" s="2065"/>
      <c r="C45" s="2071"/>
      <c r="D45" s="2072"/>
      <c r="E45" s="2073"/>
      <c r="F45" s="2056" t="s">
        <v>13</v>
      </c>
      <c r="G45" s="2057"/>
      <c r="H45" s="2058" t="s">
        <v>14</v>
      </c>
      <c r="I45" s="2059"/>
      <c r="J45" s="1998" t="s">
        <v>15</v>
      </c>
      <c r="K45" s="1998"/>
      <c r="L45" s="2060" t="s">
        <v>16</v>
      </c>
      <c r="M45" s="2061"/>
      <c r="N45" s="1998" t="s">
        <v>17</v>
      </c>
      <c r="O45" s="1998"/>
      <c r="P45" s="2060" t="s">
        <v>18</v>
      </c>
      <c r="Q45" s="2061"/>
      <c r="R45" s="1998" t="s">
        <v>19</v>
      </c>
      <c r="S45" s="1998"/>
      <c r="T45" s="2060" t="s">
        <v>20</v>
      </c>
      <c r="U45" s="2061"/>
      <c r="V45" s="1998" t="s">
        <v>21</v>
      </c>
      <c r="W45" s="1998"/>
      <c r="X45" s="2060" t="s">
        <v>22</v>
      </c>
      <c r="Y45" s="2061"/>
      <c r="Z45" s="2082" t="s">
        <v>23</v>
      </c>
      <c r="AA45" s="2083"/>
      <c r="AB45" s="2082" t="s">
        <v>358</v>
      </c>
      <c r="AC45" s="2083"/>
      <c r="AD45" s="2082" t="s">
        <v>359</v>
      </c>
      <c r="AE45" s="2083"/>
      <c r="AF45" s="2082" t="s">
        <v>360</v>
      </c>
      <c r="AG45" s="2083"/>
      <c r="AH45" s="2078"/>
      <c r="AI45" s="1879"/>
      <c r="AJ45" s="2081"/>
      <c r="AK45" s="1724"/>
      <c r="CA45" s="2049"/>
      <c r="CB45" s="2049"/>
      <c r="CC45" s="2049"/>
      <c r="CD45" s="2049"/>
      <c r="CI45" s="2049"/>
      <c r="CJ45" s="2049"/>
      <c r="DK45" s="2049"/>
      <c r="DL45" s="2049"/>
      <c r="DM45" s="2049"/>
      <c r="DN45" s="2049"/>
      <c r="DU45" s="1619"/>
      <c r="DV45" s="1619"/>
    </row>
    <row r="46" spans="1:148" ht="32.25" customHeight="1">
      <c r="A46" s="2066"/>
      <c r="B46" s="2067"/>
      <c r="C46" s="682" t="s">
        <v>361</v>
      </c>
      <c r="D46" s="1635" t="s">
        <v>42</v>
      </c>
      <c r="E46" s="1636" t="s">
        <v>179</v>
      </c>
      <c r="F46" s="835" t="s">
        <v>42</v>
      </c>
      <c r="G46" s="1636" t="s">
        <v>179</v>
      </c>
      <c r="H46" s="835" t="s">
        <v>42</v>
      </c>
      <c r="I46" s="1636" t="s">
        <v>179</v>
      </c>
      <c r="J46" s="835" t="s">
        <v>42</v>
      </c>
      <c r="K46" s="1636" t="s">
        <v>179</v>
      </c>
      <c r="L46" s="835" t="s">
        <v>42</v>
      </c>
      <c r="M46" s="1636" t="s">
        <v>179</v>
      </c>
      <c r="N46" s="835" t="s">
        <v>42</v>
      </c>
      <c r="O46" s="1636" t="s">
        <v>179</v>
      </c>
      <c r="P46" s="835" t="s">
        <v>42</v>
      </c>
      <c r="Q46" s="1636" t="s">
        <v>179</v>
      </c>
      <c r="R46" s="835" t="s">
        <v>42</v>
      </c>
      <c r="S46" s="1636" t="s">
        <v>179</v>
      </c>
      <c r="T46" s="835" t="s">
        <v>42</v>
      </c>
      <c r="U46" s="1636" t="s">
        <v>179</v>
      </c>
      <c r="V46" s="835" t="s">
        <v>42</v>
      </c>
      <c r="W46" s="1636" t="s">
        <v>179</v>
      </c>
      <c r="X46" s="835" t="s">
        <v>42</v>
      </c>
      <c r="Y46" s="1636" t="s">
        <v>179</v>
      </c>
      <c r="Z46" s="835" t="s">
        <v>362</v>
      </c>
      <c r="AA46" s="1636" t="s">
        <v>179</v>
      </c>
      <c r="AB46" s="835" t="s">
        <v>362</v>
      </c>
      <c r="AC46" s="1636" t="s">
        <v>179</v>
      </c>
      <c r="AD46" s="835" t="s">
        <v>362</v>
      </c>
      <c r="AE46" s="1636" t="s">
        <v>179</v>
      </c>
      <c r="AF46" s="690" t="s">
        <v>362</v>
      </c>
      <c r="AG46" s="691" t="s">
        <v>179</v>
      </c>
      <c r="AH46" s="919" t="s">
        <v>42</v>
      </c>
      <c r="AI46" s="836" t="s">
        <v>179</v>
      </c>
      <c r="AJ46" s="1641" t="s">
        <v>42</v>
      </c>
      <c r="AK46" s="836" t="s">
        <v>179</v>
      </c>
      <c r="CA46" s="893"/>
      <c r="CB46" s="893"/>
      <c r="CC46" s="893"/>
      <c r="CD46" s="893"/>
      <c r="CI46" s="894"/>
      <c r="CJ46" s="894"/>
      <c r="DK46" s="893"/>
      <c r="DL46" s="893"/>
      <c r="DM46" s="893"/>
      <c r="DN46" s="893"/>
      <c r="DU46" s="894"/>
      <c r="DV46" s="894"/>
    </row>
    <row r="47" spans="1:148" ht="15" customHeight="1">
      <c r="A47" s="1645" t="s">
        <v>485</v>
      </c>
      <c r="B47" s="1646"/>
      <c r="C47" s="1647"/>
      <c r="D47" s="1648"/>
      <c r="E47" s="1648"/>
      <c r="F47" s="1648"/>
      <c r="G47" s="1648"/>
      <c r="H47" s="1648"/>
      <c r="I47" s="1648"/>
      <c r="J47" s="1648"/>
      <c r="K47" s="1648"/>
      <c r="L47" s="1648"/>
      <c r="M47" s="164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c r="AI47" s="1648"/>
      <c r="AJ47" s="1648"/>
      <c r="AK47" s="1648"/>
    </row>
    <row r="48" spans="1:148" ht="15" customHeight="1">
      <c r="A48" s="2036" t="s">
        <v>486</v>
      </c>
      <c r="B48" s="2037"/>
      <c r="C48" s="964">
        <f>SUM(D48:E48)</f>
        <v>0</v>
      </c>
      <c r="D48" s="697">
        <f>+F48+H48+J48+L48+N48+P48+R48+T48+V48+X48+Z48+AB48+AD48+AF48</f>
        <v>0</v>
      </c>
      <c r="E48" s="782">
        <f>+G48+I48+K48+M48+O48+Q48+S48+U48+W48+Y48+AA48+AC48+AE48+AG48</f>
        <v>0</v>
      </c>
      <c r="F48" s="751"/>
      <c r="G48" s="752"/>
      <c r="H48" s="751"/>
      <c r="I48" s="752"/>
      <c r="J48" s="751"/>
      <c r="K48" s="752"/>
      <c r="L48" s="751"/>
      <c r="M48" s="752"/>
      <c r="N48" s="751"/>
      <c r="O48" s="752"/>
      <c r="P48" s="751"/>
      <c r="Q48" s="752"/>
      <c r="R48" s="751"/>
      <c r="S48" s="752"/>
      <c r="T48" s="751"/>
      <c r="U48" s="752"/>
      <c r="V48" s="751"/>
      <c r="W48" s="752"/>
      <c r="X48" s="751"/>
      <c r="Y48" s="752"/>
      <c r="Z48" s="751"/>
      <c r="AA48" s="752"/>
      <c r="AB48" s="751"/>
      <c r="AC48" s="752"/>
      <c r="AD48" s="751"/>
      <c r="AE48" s="752"/>
      <c r="AF48" s="789"/>
      <c r="AG48" s="730"/>
      <c r="AH48" s="789"/>
      <c r="AI48" s="752"/>
      <c r="AJ48" s="789"/>
      <c r="AK48" s="752"/>
      <c r="AL48" s="5" t="str">
        <f>CA48&amp;CB48&amp;CC48&amp;CD48</f>
        <v/>
      </c>
      <c r="CA48" s="142" t="str">
        <f>IF(AND(D48&gt;0,OR(AH48=""))," * No olvide digitar la variable Pueblos Originarios Hombres. Digite Cero si no tiene.",IF(AH48&gt;D48," * La variable Pueblos Originarios Hombres no puede ser Mayor al Total Hombres.",""))</f>
        <v/>
      </c>
      <c r="CB48" s="142" t="str">
        <f>IF(AND(E48&gt;0,OR(AI48=""))," * No olvide digitar la variable Pueblos Originarios Mujeres. Digite Cero si no tiene.",IF(AI48&gt;E48," * La variable Pueblos Originarios Mujeres no puede ser Mayor al Total Mujeres.",""))</f>
        <v/>
      </c>
      <c r="CC48" s="142" t="str">
        <f>IF(AND($D48&gt;0,OR(AJ48=""))," * No olvide digitar la variable Migrantes Hombres. Digite Cero si no tiene.",IF(AJ48&gt;$D48," * La variable Migrantes Hombres no puede ser Mayor al Total Hombres.",""))</f>
        <v/>
      </c>
      <c r="CD48" s="142" t="str">
        <f>IF(AND(E48&gt;0,OR(AK48=""))," * No olvide digitar la variable Migrantes Mujeres. Digite Cero si no tiene.",IF(AK48&gt;E48," * La variable Migrantes Mujeres no puede ser Mayor al Total Mujeres.",""))</f>
        <v/>
      </c>
      <c r="DK48" s="34">
        <f t="shared" ref="DK48:DL95" si="37">IF(AND(D48&gt;0,OR(AH48="")),1,IF(AH48&gt;D48,1,0))</f>
        <v>0</v>
      </c>
      <c r="DL48" s="34">
        <f t="shared" si="37"/>
        <v>0</v>
      </c>
      <c r="DM48" s="34">
        <f t="shared" ref="DM48:DN95" si="38">IF(AND(D48&gt;0,OR(AJ48="")),1,IF(AJ48&gt;D48,1,0))</f>
        <v>0</v>
      </c>
      <c r="DN48" s="34">
        <f t="shared" si="38"/>
        <v>0</v>
      </c>
    </row>
    <row r="49" spans="1:118" ht="15" customHeight="1">
      <c r="A49" s="2020" t="s">
        <v>487</v>
      </c>
      <c r="B49" s="2021"/>
      <c r="C49" s="1649">
        <f>SUM(D49:E49)</f>
        <v>0</v>
      </c>
      <c r="D49" s="707">
        <f t="shared" ref="D49:E72" si="39">+F49+H49+J49+L49+N49+P49+R49+T49+V49+X49+Z49+AB49+AD49+AF49</f>
        <v>0</v>
      </c>
      <c r="E49" s="787">
        <f t="shared" si="39"/>
        <v>0</v>
      </c>
      <c r="F49" s="709"/>
      <c r="G49" s="710"/>
      <c r="H49" s="709"/>
      <c r="I49" s="710"/>
      <c r="J49" s="709"/>
      <c r="K49" s="710"/>
      <c r="L49" s="709"/>
      <c r="M49" s="710"/>
      <c r="N49" s="709"/>
      <c r="O49" s="710"/>
      <c r="P49" s="709"/>
      <c r="Q49" s="710"/>
      <c r="R49" s="709"/>
      <c r="S49" s="710"/>
      <c r="T49" s="709"/>
      <c r="U49" s="710"/>
      <c r="V49" s="709"/>
      <c r="W49" s="710"/>
      <c r="X49" s="709"/>
      <c r="Y49" s="710"/>
      <c r="Z49" s="709"/>
      <c r="AA49" s="710"/>
      <c r="AB49" s="709"/>
      <c r="AC49" s="710"/>
      <c r="AD49" s="709"/>
      <c r="AE49" s="710"/>
      <c r="AF49" s="928"/>
      <c r="AG49" s="731"/>
      <c r="AH49" s="789"/>
      <c r="AI49" s="752"/>
      <c r="AJ49" s="789"/>
      <c r="AK49" s="752"/>
      <c r="AL49" s="5" t="str">
        <f t="shared" ref="AL49:AL95" si="40">CA49&amp;CB49&amp;CC49&amp;CD49</f>
        <v/>
      </c>
      <c r="CA49" s="142" t="str">
        <f t="shared" ref="CA49:CA73" si="41">IF(AND(D49&gt;0,OR(AH49=""))," * No olvide digitar la variable Pueblos Originarios Hombres. Digite Cero si no tiene.",IF(AH49&gt;D49," * La variable Pueblos Originarios Hombres no puede ser Mayor al Total Hombres.",""))</f>
        <v/>
      </c>
      <c r="CB49" s="142" t="str">
        <f t="shared" ref="CB49:CB73" si="42">IF(AND(E49&gt;0,OR(AI49=""))," * No olvide digitar la variable Pueblos Originarios Mujeres. Digite Cero si no tiene.",IF(AI49&gt;E49," * La variable Pueblos Originarios Mujeres no puede ser Mayor al Total Mujeres.",""))</f>
        <v/>
      </c>
      <c r="CC49" s="142" t="str">
        <f t="shared" ref="CC49:CC73" si="43">IF(AND($D49&gt;0,OR(AJ49=""))," * No olvide digitar la variable Migrantes Hombres. Digite Cero si no tiene.",IF(AJ49&gt;$D49," * La variable Migrantes Hombres no puede ser Mayor al Total Hombres.",""))</f>
        <v/>
      </c>
      <c r="CD49" s="142" t="str">
        <f t="shared" ref="CD49:CD73" si="44">IF(AND(E49&gt;0,OR(AK49=""))," * No olvide digitar la variable Migrantes Mujeres. Digite Cero si no tiene.",IF(AK49&gt;E49," * La variable Migrantes Mujeres no puede ser Mayor al Total Mujeres.",""))</f>
        <v/>
      </c>
      <c r="DK49" s="34">
        <f t="shared" si="37"/>
        <v>0</v>
      </c>
      <c r="DL49" s="34">
        <f t="shared" si="37"/>
        <v>0</v>
      </c>
      <c r="DM49" s="34">
        <f t="shared" si="38"/>
        <v>0</v>
      </c>
      <c r="DN49" s="34">
        <f t="shared" si="38"/>
        <v>0</v>
      </c>
    </row>
    <row r="50" spans="1:118" ht="20" customHeight="1">
      <c r="A50" s="2054" t="s">
        <v>488</v>
      </c>
      <c r="B50" s="2055"/>
      <c r="C50" s="965">
        <f>SUM(D50:E50)</f>
        <v>0</v>
      </c>
      <c r="D50" s="740">
        <f>+F50+H50+J50+L50+N50+P50+R50+T50+V50+X50+Z50+AB50+AD50+AF50</f>
        <v>0</v>
      </c>
      <c r="E50" s="934">
        <f>+G50+I50+K50+M50+O50+Q50+S50+U50+W50+Y50+AA50+AC50+AE50+AG50</f>
        <v>0</v>
      </c>
      <c r="F50" s="709"/>
      <c r="G50" s="710"/>
      <c r="H50" s="709"/>
      <c r="I50" s="710"/>
      <c r="J50" s="709"/>
      <c r="K50" s="710"/>
      <c r="L50" s="709"/>
      <c r="M50" s="710"/>
      <c r="N50" s="709"/>
      <c r="O50" s="710"/>
      <c r="P50" s="709"/>
      <c r="Q50" s="710"/>
      <c r="R50" s="709"/>
      <c r="S50" s="710"/>
      <c r="T50" s="709"/>
      <c r="U50" s="710"/>
      <c r="V50" s="709"/>
      <c r="W50" s="710"/>
      <c r="X50" s="709"/>
      <c r="Y50" s="710"/>
      <c r="Z50" s="709"/>
      <c r="AA50" s="710"/>
      <c r="AB50" s="709"/>
      <c r="AC50" s="710"/>
      <c r="AD50" s="709"/>
      <c r="AE50" s="710"/>
      <c r="AF50" s="928"/>
      <c r="AG50" s="731"/>
      <c r="AH50" s="789"/>
      <c r="AI50" s="752"/>
      <c r="AJ50" s="789"/>
      <c r="AK50" s="752"/>
      <c r="AL50" s="5" t="str">
        <f t="shared" si="40"/>
        <v/>
      </c>
      <c r="CA50" s="142" t="str">
        <f t="shared" si="41"/>
        <v/>
      </c>
      <c r="CB50" s="142" t="str">
        <f t="shared" si="42"/>
        <v/>
      </c>
      <c r="CC50" s="142" t="str">
        <f t="shared" si="43"/>
        <v/>
      </c>
      <c r="CD50" s="142" t="str">
        <f t="shared" si="44"/>
        <v/>
      </c>
      <c r="DK50" s="34">
        <f t="shared" si="37"/>
        <v>0</v>
      </c>
      <c r="DL50" s="34">
        <f t="shared" si="37"/>
        <v>0</v>
      </c>
      <c r="DM50" s="34">
        <f t="shared" si="38"/>
        <v>0</v>
      </c>
      <c r="DN50" s="34">
        <f t="shared" si="38"/>
        <v>0</v>
      </c>
    </row>
    <row r="51" spans="1:118" ht="15" customHeight="1">
      <c r="A51" s="2054" t="s">
        <v>489</v>
      </c>
      <c r="B51" s="2055"/>
      <c r="C51" s="966">
        <f>SUM(D51:E51)</f>
        <v>0</v>
      </c>
      <c r="D51" s="740">
        <f t="shared" si="39"/>
        <v>0</v>
      </c>
      <c r="E51" s="934">
        <f t="shared" si="39"/>
        <v>0</v>
      </c>
      <c r="F51" s="709"/>
      <c r="G51" s="710"/>
      <c r="H51" s="709"/>
      <c r="I51" s="710"/>
      <c r="J51" s="709"/>
      <c r="K51" s="710"/>
      <c r="L51" s="709"/>
      <c r="M51" s="710"/>
      <c r="N51" s="709"/>
      <c r="O51" s="710"/>
      <c r="P51" s="709"/>
      <c r="Q51" s="710"/>
      <c r="R51" s="709"/>
      <c r="S51" s="710"/>
      <c r="T51" s="709"/>
      <c r="U51" s="710"/>
      <c r="V51" s="709"/>
      <c r="W51" s="710"/>
      <c r="X51" s="709"/>
      <c r="Y51" s="710"/>
      <c r="Z51" s="709"/>
      <c r="AA51" s="710"/>
      <c r="AB51" s="709"/>
      <c r="AC51" s="710"/>
      <c r="AD51" s="709"/>
      <c r="AE51" s="710"/>
      <c r="AF51" s="928"/>
      <c r="AG51" s="731"/>
      <c r="AH51" s="789"/>
      <c r="AI51" s="752"/>
      <c r="AJ51" s="789"/>
      <c r="AK51" s="752"/>
      <c r="AL51" s="5" t="str">
        <f t="shared" si="40"/>
        <v/>
      </c>
      <c r="CA51" s="142" t="str">
        <f t="shared" si="41"/>
        <v/>
      </c>
      <c r="CB51" s="142" t="str">
        <f t="shared" si="42"/>
        <v/>
      </c>
      <c r="CC51" s="142" t="str">
        <f t="shared" si="43"/>
        <v/>
      </c>
      <c r="CD51" s="142" t="str">
        <f t="shared" si="44"/>
        <v/>
      </c>
      <c r="DK51" s="34">
        <f t="shared" si="37"/>
        <v>0</v>
      </c>
      <c r="DL51" s="34">
        <f t="shared" si="37"/>
        <v>0</v>
      </c>
      <c r="DM51" s="34">
        <f t="shared" si="38"/>
        <v>0</v>
      </c>
      <c r="DN51" s="34">
        <f t="shared" si="38"/>
        <v>0</v>
      </c>
    </row>
    <row r="52" spans="1:118" ht="15" customHeight="1">
      <c r="A52" s="2020" t="s">
        <v>490</v>
      </c>
      <c r="B52" s="2021"/>
      <c r="C52" s="966"/>
      <c r="D52" s="845">
        <f t="shared" si="39"/>
        <v>0</v>
      </c>
      <c r="E52" s="926">
        <f t="shared" si="39"/>
        <v>0</v>
      </c>
      <c r="F52" s="709"/>
      <c r="G52" s="710"/>
      <c r="H52" s="709"/>
      <c r="I52" s="710"/>
      <c r="J52" s="709"/>
      <c r="K52" s="710"/>
      <c r="L52" s="709"/>
      <c r="M52" s="710"/>
      <c r="N52" s="709"/>
      <c r="O52" s="710"/>
      <c r="P52" s="709"/>
      <c r="Q52" s="710"/>
      <c r="R52" s="709"/>
      <c r="S52" s="710"/>
      <c r="T52" s="709"/>
      <c r="U52" s="710"/>
      <c r="V52" s="709"/>
      <c r="W52" s="710"/>
      <c r="X52" s="709"/>
      <c r="Y52" s="710"/>
      <c r="Z52" s="709"/>
      <c r="AA52" s="710"/>
      <c r="AB52" s="709"/>
      <c r="AC52" s="710"/>
      <c r="AD52" s="709"/>
      <c r="AE52" s="710"/>
      <c r="AF52" s="928"/>
      <c r="AG52" s="731"/>
      <c r="AH52" s="789"/>
      <c r="AI52" s="752"/>
      <c r="AJ52" s="789"/>
      <c r="AK52" s="752"/>
      <c r="AL52" s="5" t="str">
        <f t="shared" si="40"/>
        <v/>
      </c>
      <c r="CA52" s="142" t="str">
        <f t="shared" si="41"/>
        <v/>
      </c>
      <c r="CB52" s="142" t="str">
        <f t="shared" si="42"/>
        <v/>
      </c>
      <c r="CC52" s="142" t="str">
        <f t="shared" si="43"/>
        <v/>
      </c>
      <c r="CD52" s="142" t="str">
        <f t="shared" si="44"/>
        <v/>
      </c>
      <c r="DK52" s="34">
        <f t="shared" si="37"/>
        <v>0</v>
      </c>
      <c r="DL52" s="34">
        <f t="shared" si="37"/>
        <v>0</v>
      </c>
      <c r="DM52" s="34">
        <f t="shared" si="38"/>
        <v>0</v>
      </c>
      <c r="DN52" s="34">
        <f t="shared" si="38"/>
        <v>0</v>
      </c>
    </row>
    <row r="53" spans="1:118" ht="15" customHeight="1">
      <c r="A53" s="2020" t="s">
        <v>491</v>
      </c>
      <c r="B53" s="2021"/>
      <c r="C53" s="966">
        <f t="shared" ref="C53:C73" si="45">SUM(D53:E53)</f>
        <v>0</v>
      </c>
      <c r="D53" s="707">
        <f t="shared" si="39"/>
        <v>0</v>
      </c>
      <c r="E53" s="906">
        <f t="shared" si="39"/>
        <v>0</v>
      </c>
      <c r="F53" s="709"/>
      <c r="G53" s="710"/>
      <c r="H53" s="709"/>
      <c r="I53" s="710"/>
      <c r="J53" s="709"/>
      <c r="K53" s="710"/>
      <c r="L53" s="709"/>
      <c r="M53" s="710"/>
      <c r="N53" s="709"/>
      <c r="O53" s="710"/>
      <c r="P53" s="709"/>
      <c r="Q53" s="710"/>
      <c r="R53" s="709"/>
      <c r="S53" s="710"/>
      <c r="T53" s="709"/>
      <c r="U53" s="710"/>
      <c r="V53" s="709"/>
      <c r="W53" s="710"/>
      <c r="X53" s="709"/>
      <c r="Y53" s="710"/>
      <c r="Z53" s="709"/>
      <c r="AA53" s="710"/>
      <c r="AB53" s="709"/>
      <c r="AC53" s="710"/>
      <c r="AD53" s="709"/>
      <c r="AE53" s="710"/>
      <c r="AF53" s="928"/>
      <c r="AG53" s="731"/>
      <c r="AH53" s="789"/>
      <c r="AI53" s="752"/>
      <c r="AJ53" s="789"/>
      <c r="AK53" s="752"/>
      <c r="AL53" s="5" t="str">
        <f t="shared" si="40"/>
        <v/>
      </c>
      <c r="CA53" s="142" t="str">
        <f t="shared" si="41"/>
        <v/>
      </c>
      <c r="CB53" s="142" t="str">
        <f t="shared" si="42"/>
        <v/>
      </c>
      <c r="CC53" s="142" t="str">
        <f t="shared" si="43"/>
        <v/>
      </c>
      <c r="CD53" s="142" t="str">
        <f t="shared" si="44"/>
        <v/>
      </c>
      <c r="DK53" s="34">
        <f t="shared" si="37"/>
        <v>0</v>
      </c>
      <c r="DL53" s="34">
        <f t="shared" si="37"/>
        <v>0</v>
      </c>
      <c r="DM53" s="34">
        <f t="shared" si="38"/>
        <v>0</v>
      </c>
      <c r="DN53" s="34">
        <f t="shared" si="38"/>
        <v>0</v>
      </c>
    </row>
    <row r="54" spans="1:118" ht="15" customHeight="1">
      <c r="A54" s="2020" t="s">
        <v>492</v>
      </c>
      <c r="B54" s="2021"/>
      <c r="C54" s="1649">
        <f t="shared" si="45"/>
        <v>0</v>
      </c>
      <c r="D54" s="707">
        <f t="shared" si="39"/>
        <v>0</v>
      </c>
      <c r="E54" s="906">
        <f t="shared" si="39"/>
        <v>0</v>
      </c>
      <c r="F54" s="709"/>
      <c r="G54" s="710"/>
      <c r="H54" s="709"/>
      <c r="I54" s="710"/>
      <c r="J54" s="709"/>
      <c r="K54" s="710"/>
      <c r="L54" s="709"/>
      <c r="M54" s="710"/>
      <c r="N54" s="709"/>
      <c r="O54" s="710"/>
      <c r="P54" s="709"/>
      <c r="Q54" s="710"/>
      <c r="R54" s="709"/>
      <c r="S54" s="710"/>
      <c r="T54" s="709"/>
      <c r="U54" s="710"/>
      <c r="V54" s="709"/>
      <c r="W54" s="710"/>
      <c r="X54" s="709"/>
      <c r="Y54" s="710"/>
      <c r="Z54" s="709"/>
      <c r="AA54" s="710"/>
      <c r="AB54" s="709"/>
      <c r="AC54" s="710"/>
      <c r="AD54" s="709"/>
      <c r="AE54" s="710"/>
      <c r="AF54" s="928"/>
      <c r="AG54" s="731"/>
      <c r="AH54" s="789"/>
      <c r="AI54" s="752"/>
      <c r="AJ54" s="789"/>
      <c r="AK54" s="752"/>
      <c r="AL54" s="5" t="str">
        <f t="shared" si="40"/>
        <v/>
      </c>
      <c r="CA54" s="142" t="str">
        <f t="shared" si="41"/>
        <v/>
      </c>
      <c r="CB54" s="142" t="str">
        <f t="shared" si="42"/>
        <v/>
      </c>
      <c r="CC54" s="142" t="str">
        <f t="shared" si="43"/>
        <v/>
      </c>
      <c r="CD54" s="142" t="str">
        <f t="shared" si="44"/>
        <v/>
      </c>
      <c r="DK54" s="34">
        <f t="shared" si="37"/>
        <v>0</v>
      </c>
      <c r="DL54" s="34">
        <f t="shared" si="37"/>
        <v>0</v>
      </c>
      <c r="DM54" s="34">
        <f t="shared" si="38"/>
        <v>0</v>
      </c>
      <c r="DN54" s="34">
        <f t="shared" si="38"/>
        <v>0</v>
      </c>
    </row>
    <row r="55" spans="1:118" ht="15" customHeight="1">
      <c r="A55" s="2020" t="s">
        <v>493</v>
      </c>
      <c r="B55" s="2021"/>
      <c r="C55" s="1649">
        <f t="shared" si="45"/>
        <v>0</v>
      </c>
      <c r="D55" s="740">
        <f t="shared" si="39"/>
        <v>0</v>
      </c>
      <c r="E55" s="934">
        <f t="shared" si="39"/>
        <v>0</v>
      </c>
      <c r="F55" s="751"/>
      <c r="G55" s="752"/>
      <c r="H55" s="751"/>
      <c r="I55" s="752"/>
      <c r="J55" s="751"/>
      <c r="K55" s="752"/>
      <c r="L55" s="751"/>
      <c r="M55" s="752"/>
      <c r="N55" s="751"/>
      <c r="O55" s="752"/>
      <c r="P55" s="751"/>
      <c r="Q55" s="752"/>
      <c r="R55" s="751"/>
      <c r="S55" s="752"/>
      <c r="T55" s="751"/>
      <c r="U55" s="752"/>
      <c r="V55" s="751"/>
      <c r="W55" s="752"/>
      <c r="X55" s="751"/>
      <c r="Y55" s="752"/>
      <c r="Z55" s="751"/>
      <c r="AA55" s="752"/>
      <c r="AB55" s="751"/>
      <c r="AC55" s="752"/>
      <c r="AD55" s="751"/>
      <c r="AE55" s="752"/>
      <c r="AF55" s="789"/>
      <c r="AG55" s="753"/>
      <c r="AH55" s="789"/>
      <c r="AI55" s="752"/>
      <c r="AJ55" s="789"/>
      <c r="AK55" s="752"/>
      <c r="AL55" s="5" t="str">
        <f t="shared" si="40"/>
        <v/>
      </c>
      <c r="CA55" s="142" t="str">
        <f t="shared" si="41"/>
        <v/>
      </c>
      <c r="CB55" s="142" t="str">
        <f t="shared" si="42"/>
        <v/>
      </c>
      <c r="CC55" s="142" t="str">
        <f t="shared" si="43"/>
        <v/>
      </c>
      <c r="CD55" s="142" t="str">
        <f t="shared" si="44"/>
        <v/>
      </c>
      <c r="DK55" s="34">
        <f t="shared" si="37"/>
        <v>0</v>
      </c>
      <c r="DL55" s="34">
        <f t="shared" si="37"/>
        <v>0</v>
      </c>
      <c r="DM55" s="34">
        <f t="shared" si="38"/>
        <v>0</v>
      </c>
      <c r="DN55" s="34">
        <f t="shared" si="38"/>
        <v>0</v>
      </c>
    </row>
    <row r="56" spans="1:118" ht="15" customHeight="1">
      <c r="A56" s="2050" t="s">
        <v>494</v>
      </c>
      <c r="B56" s="2051"/>
      <c r="C56" s="1637">
        <f t="shared" si="45"/>
        <v>0</v>
      </c>
      <c r="D56" s="707">
        <f t="shared" si="39"/>
        <v>0</v>
      </c>
      <c r="E56" s="906">
        <f t="shared" si="39"/>
        <v>0</v>
      </c>
      <c r="F56" s="709"/>
      <c r="G56" s="710"/>
      <c r="H56" s="709"/>
      <c r="I56" s="710"/>
      <c r="J56" s="709"/>
      <c r="K56" s="710"/>
      <c r="L56" s="709"/>
      <c r="M56" s="710"/>
      <c r="N56" s="709"/>
      <c r="O56" s="710"/>
      <c r="P56" s="709"/>
      <c r="Q56" s="710"/>
      <c r="R56" s="709"/>
      <c r="S56" s="710"/>
      <c r="T56" s="709"/>
      <c r="U56" s="710"/>
      <c r="V56" s="709"/>
      <c r="W56" s="710"/>
      <c r="X56" s="709"/>
      <c r="Y56" s="710"/>
      <c r="Z56" s="709"/>
      <c r="AA56" s="710"/>
      <c r="AB56" s="709"/>
      <c r="AC56" s="710"/>
      <c r="AD56" s="709"/>
      <c r="AE56" s="710"/>
      <c r="AF56" s="928"/>
      <c r="AG56" s="731"/>
      <c r="AH56" s="789"/>
      <c r="AI56" s="752"/>
      <c r="AJ56" s="789"/>
      <c r="AK56" s="752"/>
      <c r="AL56" s="5" t="str">
        <f t="shared" si="40"/>
        <v/>
      </c>
      <c r="CA56" s="142" t="str">
        <f t="shared" si="41"/>
        <v/>
      </c>
      <c r="CB56" s="142" t="str">
        <f t="shared" si="42"/>
        <v/>
      </c>
      <c r="CC56" s="142" t="str">
        <f t="shared" si="43"/>
        <v/>
      </c>
      <c r="CD56" s="142" t="str">
        <f t="shared" si="44"/>
        <v/>
      </c>
      <c r="DK56" s="34">
        <f t="shared" si="37"/>
        <v>0</v>
      </c>
      <c r="DL56" s="34">
        <f t="shared" si="37"/>
        <v>0</v>
      </c>
      <c r="DM56" s="34">
        <f t="shared" si="38"/>
        <v>0</v>
      </c>
      <c r="DN56" s="34">
        <f t="shared" si="38"/>
        <v>0</v>
      </c>
    </row>
    <row r="57" spans="1:118" ht="15" customHeight="1">
      <c r="A57" s="2050" t="s">
        <v>480</v>
      </c>
      <c r="B57" s="2051"/>
      <c r="C57" s="1637">
        <f t="shared" si="45"/>
        <v>0</v>
      </c>
      <c r="D57" s="740">
        <f t="shared" si="39"/>
        <v>0</v>
      </c>
      <c r="E57" s="934">
        <f t="shared" si="39"/>
        <v>0</v>
      </c>
      <c r="F57" s="751"/>
      <c r="G57" s="752"/>
      <c r="H57" s="751"/>
      <c r="I57" s="752"/>
      <c r="J57" s="751"/>
      <c r="K57" s="752"/>
      <c r="L57" s="751"/>
      <c r="M57" s="752"/>
      <c r="N57" s="751"/>
      <c r="O57" s="752"/>
      <c r="P57" s="751"/>
      <c r="Q57" s="752"/>
      <c r="R57" s="751"/>
      <c r="S57" s="752"/>
      <c r="T57" s="751"/>
      <c r="U57" s="752"/>
      <c r="V57" s="751"/>
      <c r="W57" s="752"/>
      <c r="X57" s="751"/>
      <c r="Y57" s="752"/>
      <c r="Z57" s="751"/>
      <c r="AA57" s="752"/>
      <c r="AB57" s="751"/>
      <c r="AC57" s="752"/>
      <c r="AD57" s="751"/>
      <c r="AE57" s="752"/>
      <c r="AF57" s="789"/>
      <c r="AG57" s="753"/>
      <c r="AH57" s="789"/>
      <c r="AI57" s="752"/>
      <c r="AJ57" s="789"/>
      <c r="AK57" s="752"/>
      <c r="AL57" s="5" t="str">
        <f t="shared" si="40"/>
        <v/>
      </c>
      <c r="CA57" s="142" t="str">
        <f t="shared" si="41"/>
        <v/>
      </c>
      <c r="CB57" s="142" t="str">
        <f t="shared" si="42"/>
        <v/>
      </c>
      <c r="CC57" s="142" t="str">
        <f t="shared" si="43"/>
        <v/>
      </c>
      <c r="CD57" s="142" t="str">
        <f t="shared" si="44"/>
        <v/>
      </c>
      <c r="DK57" s="34">
        <f t="shared" si="37"/>
        <v>0</v>
      </c>
      <c r="DL57" s="34">
        <f t="shared" si="37"/>
        <v>0</v>
      </c>
      <c r="DM57" s="34">
        <f t="shared" si="38"/>
        <v>0</v>
      </c>
      <c r="DN57" s="34">
        <f t="shared" si="38"/>
        <v>0</v>
      </c>
    </row>
    <row r="58" spans="1:118" ht="15" customHeight="1">
      <c r="A58" s="2052" t="s">
        <v>495</v>
      </c>
      <c r="B58" s="2053"/>
      <c r="C58" s="1637">
        <f t="shared" si="45"/>
        <v>0</v>
      </c>
      <c r="D58" s="740">
        <f>+F58+H58+J58+L58+N58+P58+R58+T58+V58+X58+Z58+AB58+AD58+AF58</f>
        <v>0</v>
      </c>
      <c r="E58" s="898">
        <f>+G58+I58+K58+M58+O58+Q58+S58+U58+W58+Y58+AA58+AC58+AE58+AG58</f>
        <v>0</v>
      </c>
      <c r="F58" s="751"/>
      <c r="G58" s="752"/>
      <c r="H58" s="751"/>
      <c r="I58" s="752"/>
      <c r="J58" s="751"/>
      <c r="K58" s="752"/>
      <c r="L58" s="751"/>
      <c r="M58" s="752"/>
      <c r="N58" s="751"/>
      <c r="O58" s="752"/>
      <c r="P58" s="751"/>
      <c r="Q58" s="752"/>
      <c r="R58" s="751"/>
      <c r="S58" s="752"/>
      <c r="T58" s="751"/>
      <c r="U58" s="752"/>
      <c r="V58" s="751"/>
      <c r="W58" s="752"/>
      <c r="X58" s="751"/>
      <c r="Y58" s="752"/>
      <c r="Z58" s="751"/>
      <c r="AA58" s="752"/>
      <c r="AB58" s="751"/>
      <c r="AC58" s="752"/>
      <c r="AD58" s="751"/>
      <c r="AE58" s="752"/>
      <c r="AF58" s="789"/>
      <c r="AG58" s="753"/>
      <c r="AH58" s="789"/>
      <c r="AI58" s="752"/>
      <c r="AJ58" s="789"/>
      <c r="AK58" s="752"/>
      <c r="AL58" s="5" t="str">
        <f t="shared" si="40"/>
        <v/>
      </c>
      <c r="CA58" s="142" t="str">
        <f t="shared" si="41"/>
        <v/>
      </c>
      <c r="CB58" s="142" t="str">
        <f t="shared" si="42"/>
        <v/>
      </c>
      <c r="CC58" s="142" t="str">
        <f t="shared" si="43"/>
        <v/>
      </c>
      <c r="CD58" s="142" t="str">
        <f t="shared" si="44"/>
        <v/>
      </c>
      <c r="DK58" s="34">
        <f t="shared" si="37"/>
        <v>0</v>
      </c>
      <c r="DL58" s="34">
        <f t="shared" si="37"/>
        <v>0</v>
      </c>
      <c r="DM58" s="34">
        <f t="shared" si="38"/>
        <v>0</v>
      </c>
      <c r="DN58" s="34">
        <f t="shared" si="38"/>
        <v>0</v>
      </c>
    </row>
    <row r="59" spans="1:118" ht="15" customHeight="1">
      <c r="A59" s="2050" t="s">
        <v>496</v>
      </c>
      <c r="B59" s="2051"/>
      <c r="C59" s="1637">
        <f t="shared" si="45"/>
        <v>0</v>
      </c>
      <c r="D59" s="845">
        <f t="shared" si="39"/>
        <v>0</v>
      </c>
      <c r="E59" s="941">
        <f t="shared" si="39"/>
        <v>0</v>
      </c>
      <c r="F59" s="735"/>
      <c r="G59" s="729"/>
      <c r="H59" s="735"/>
      <c r="I59" s="729"/>
      <c r="J59" s="735"/>
      <c r="K59" s="729"/>
      <c r="L59" s="735"/>
      <c r="M59" s="729"/>
      <c r="N59" s="735"/>
      <c r="O59" s="729"/>
      <c r="P59" s="735"/>
      <c r="Q59" s="729"/>
      <c r="R59" s="735"/>
      <c r="S59" s="729"/>
      <c r="T59" s="735"/>
      <c r="U59" s="729"/>
      <c r="V59" s="735"/>
      <c r="W59" s="729"/>
      <c r="X59" s="735"/>
      <c r="Y59" s="729"/>
      <c r="Z59" s="735"/>
      <c r="AA59" s="729"/>
      <c r="AB59" s="735"/>
      <c r="AC59" s="729"/>
      <c r="AD59" s="735"/>
      <c r="AE59" s="729"/>
      <c r="AF59" s="942"/>
      <c r="AG59" s="736"/>
      <c r="AH59" s="942"/>
      <c r="AI59" s="729"/>
      <c r="AJ59" s="942"/>
      <c r="AK59" s="729"/>
      <c r="AL59" s="5" t="str">
        <f t="shared" si="40"/>
        <v/>
      </c>
      <c r="CA59" s="142" t="str">
        <f t="shared" si="41"/>
        <v/>
      </c>
      <c r="CB59" s="142" t="str">
        <f t="shared" si="42"/>
        <v/>
      </c>
      <c r="CC59" s="142" t="str">
        <f t="shared" si="43"/>
        <v/>
      </c>
      <c r="CD59" s="142" t="str">
        <f t="shared" si="44"/>
        <v/>
      </c>
      <c r="DK59" s="34">
        <f t="shared" si="37"/>
        <v>0</v>
      </c>
      <c r="DL59" s="34">
        <f t="shared" si="37"/>
        <v>0</v>
      </c>
      <c r="DM59" s="34">
        <f t="shared" si="38"/>
        <v>0</v>
      </c>
      <c r="DN59" s="34">
        <f t="shared" si="38"/>
        <v>0</v>
      </c>
    </row>
    <row r="60" spans="1:118" ht="15" customHeight="1">
      <c r="A60" s="2038" t="s">
        <v>497</v>
      </c>
      <c r="B60" s="2039"/>
      <c r="C60" s="967">
        <f t="shared" si="45"/>
        <v>0</v>
      </c>
      <c r="D60" s="733">
        <f t="shared" si="39"/>
        <v>0</v>
      </c>
      <c r="E60" s="902">
        <f t="shared" si="39"/>
        <v>0</v>
      </c>
      <c r="F60" s="722"/>
      <c r="G60" s="723"/>
      <c r="H60" s="722"/>
      <c r="I60" s="723"/>
      <c r="J60" s="722"/>
      <c r="K60" s="723"/>
      <c r="L60" s="722"/>
      <c r="M60" s="723"/>
      <c r="N60" s="722"/>
      <c r="O60" s="723"/>
      <c r="P60" s="722"/>
      <c r="Q60" s="723"/>
      <c r="R60" s="722"/>
      <c r="S60" s="723"/>
      <c r="T60" s="722"/>
      <c r="U60" s="723"/>
      <c r="V60" s="722"/>
      <c r="W60" s="723"/>
      <c r="X60" s="722"/>
      <c r="Y60" s="723"/>
      <c r="Z60" s="722"/>
      <c r="AA60" s="723"/>
      <c r="AB60" s="722"/>
      <c r="AC60" s="723"/>
      <c r="AD60" s="722"/>
      <c r="AE60" s="723"/>
      <c r="AF60" s="852"/>
      <c r="AG60" s="762"/>
      <c r="AH60" s="852"/>
      <c r="AI60" s="723"/>
      <c r="AJ60" s="852"/>
      <c r="AK60" s="723"/>
      <c r="AL60" s="5" t="str">
        <f t="shared" si="40"/>
        <v/>
      </c>
      <c r="CA60" s="142" t="str">
        <f t="shared" si="41"/>
        <v/>
      </c>
      <c r="CB60" s="142" t="str">
        <f t="shared" si="42"/>
        <v/>
      </c>
      <c r="CC60" s="142" t="str">
        <f t="shared" si="43"/>
        <v/>
      </c>
      <c r="CD60" s="142" t="str">
        <f t="shared" si="44"/>
        <v/>
      </c>
      <c r="DK60" s="34">
        <f t="shared" si="37"/>
        <v>0</v>
      </c>
      <c r="DL60" s="34">
        <f t="shared" si="37"/>
        <v>0</v>
      </c>
      <c r="DM60" s="34">
        <f t="shared" si="38"/>
        <v>0</v>
      </c>
      <c r="DN60" s="34">
        <f t="shared" si="38"/>
        <v>0</v>
      </c>
    </row>
    <row r="61" spans="1:118" ht="15" customHeight="1">
      <c r="A61" s="2040" t="s">
        <v>498</v>
      </c>
      <c r="B61" s="943" t="s">
        <v>499</v>
      </c>
      <c r="C61" s="967">
        <f t="shared" si="45"/>
        <v>0</v>
      </c>
      <c r="D61" s="740">
        <f>+F61+H61+J61+L61+N61+P61+R61+T61+V61+X61+Z61+AB61+AD61+AF61</f>
        <v>0</v>
      </c>
      <c r="E61" s="934">
        <f>+G61+I61+K61+M61+O61+Q61+S61+U61+W61+Y61+AA61+AC61+AE61+AG61</f>
        <v>0</v>
      </c>
      <c r="F61" s="751"/>
      <c r="G61" s="752"/>
      <c r="H61" s="751"/>
      <c r="I61" s="752"/>
      <c r="J61" s="751"/>
      <c r="K61" s="752"/>
      <c r="L61" s="751"/>
      <c r="M61" s="752"/>
      <c r="N61" s="751"/>
      <c r="O61" s="752"/>
      <c r="P61" s="751"/>
      <c r="Q61" s="752"/>
      <c r="R61" s="751"/>
      <c r="S61" s="752"/>
      <c r="T61" s="751"/>
      <c r="U61" s="752"/>
      <c r="V61" s="751"/>
      <c r="W61" s="752"/>
      <c r="X61" s="751"/>
      <c r="Y61" s="752"/>
      <c r="Z61" s="751"/>
      <c r="AA61" s="752"/>
      <c r="AB61" s="751"/>
      <c r="AC61" s="752"/>
      <c r="AD61" s="751"/>
      <c r="AE61" s="752"/>
      <c r="AF61" s="789"/>
      <c r="AG61" s="753"/>
      <c r="AH61" s="789"/>
      <c r="AI61" s="752"/>
      <c r="AJ61" s="789"/>
      <c r="AK61" s="752"/>
      <c r="AL61" s="5" t="str">
        <f t="shared" si="40"/>
        <v/>
      </c>
      <c r="CA61" s="142" t="str">
        <f t="shared" si="41"/>
        <v/>
      </c>
      <c r="CB61" s="142" t="str">
        <f t="shared" si="42"/>
        <v/>
      </c>
      <c r="CC61" s="142" t="str">
        <f t="shared" si="43"/>
        <v/>
      </c>
      <c r="CD61" s="142" t="str">
        <f t="shared" si="44"/>
        <v/>
      </c>
      <c r="DK61" s="34">
        <f t="shared" si="37"/>
        <v>0</v>
      </c>
      <c r="DL61" s="34">
        <f t="shared" si="37"/>
        <v>0</v>
      </c>
      <c r="DM61" s="34">
        <f t="shared" si="38"/>
        <v>0</v>
      </c>
      <c r="DN61" s="34">
        <f t="shared" si="38"/>
        <v>0</v>
      </c>
    </row>
    <row r="62" spans="1:118" ht="15" customHeight="1">
      <c r="A62" s="2040"/>
      <c r="B62" s="943" t="s">
        <v>500</v>
      </c>
      <c r="C62" s="967">
        <f t="shared" si="45"/>
        <v>0</v>
      </c>
      <c r="D62" s="707">
        <f t="shared" si="39"/>
        <v>0</v>
      </c>
      <c r="E62" s="787">
        <f t="shared" si="39"/>
        <v>0</v>
      </c>
      <c r="F62" s="709"/>
      <c r="G62" s="710"/>
      <c r="H62" s="709"/>
      <c r="I62" s="710"/>
      <c r="J62" s="709"/>
      <c r="K62" s="710"/>
      <c r="L62" s="709"/>
      <c r="M62" s="710"/>
      <c r="N62" s="709"/>
      <c r="O62" s="710"/>
      <c r="P62" s="709"/>
      <c r="Q62" s="710"/>
      <c r="R62" s="709"/>
      <c r="S62" s="710"/>
      <c r="T62" s="709"/>
      <c r="U62" s="710"/>
      <c r="V62" s="709"/>
      <c r="W62" s="710"/>
      <c r="X62" s="709"/>
      <c r="Y62" s="710"/>
      <c r="Z62" s="709"/>
      <c r="AA62" s="710"/>
      <c r="AB62" s="709"/>
      <c r="AC62" s="710"/>
      <c r="AD62" s="709"/>
      <c r="AE62" s="710"/>
      <c r="AF62" s="928"/>
      <c r="AG62" s="731"/>
      <c r="AH62" s="789"/>
      <c r="AI62" s="752"/>
      <c r="AJ62" s="789"/>
      <c r="AK62" s="752"/>
      <c r="AL62" s="5" t="str">
        <f t="shared" si="40"/>
        <v/>
      </c>
      <c r="CA62" s="142" t="str">
        <f t="shared" si="41"/>
        <v/>
      </c>
      <c r="CB62" s="142" t="str">
        <f t="shared" si="42"/>
        <v/>
      </c>
      <c r="CC62" s="142" t="str">
        <f t="shared" si="43"/>
        <v/>
      </c>
      <c r="CD62" s="142" t="str">
        <f t="shared" si="44"/>
        <v/>
      </c>
      <c r="DK62" s="34">
        <f t="shared" si="37"/>
        <v>0</v>
      </c>
      <c r="DL62" s="34">
        <f t="shared" si="37"/>
        <v>0</v>
      </c>
      <c r="DM62" s="34">
        <f t="shared" si="38"/>
        <v>0</v>
      </c>
      <c r="DN62" s="34">
        <f t="shared" si="38"/>
        <v>0</v>
      </c>
    </row>
    <row r="63" spans="1:118" ht="15" customHeight="1">
      <c r="A63" s="2040"/>
      <c r="B63" s="944" t="s">
        <v>501</v>
      </c>
      <c r="C63" s="967">
        <f t="shared" si="45"/>
        <v>0</v>
      </c>
      <c r="D63" s="740">
        <f t="shared" si="39"/>
        <v>0</v>
      </c>
      <c r="E63" s="898">
        <f t="shared" si="39"/>
        <v>0</v>
      </c>
      <c r="F63" s="709"/>
      <c r="G63" s="710"/>
      <c r="H63" s="709"/>
      <c r="I63" s="710"/>
      <c r="J63" s="709"/>
      <c r="K63" s="710"/>
      <c r="L63" s="709"/>
      <c r="M63" s="710"/>
      <c r="N63" s="709"/>
      <c r="O63" s="710"/>
      <c r="P63" s="709"/>
      <c r="Q63" s="710"/>
      <c r="R63" s="709"/>
      <c r="S63" s="710"/>
      <c r="T63" s="709"/>
      <c r="U63" s="710"/>
      <c r="V63" s="709"/>
      <c r="W63" s="710"/>
      <c r="X63" s="709"/>
      <c r="Y63" s="710"/>
      <c r="Z63" s="709"/>
      <c r="AA63" s="710"/>
      <c r="AB63" s="709"/>
      <c r="AC63" s="710"/>
      <c r="AD63" s="709"/>
      <c r="AE63" s="710"/>
      <c r="AF63" s="928"/>
      <c r="AG63" s="731"/>
      <c r="AH63" s="789"/>
      <c r="AI63" s="752"/>
      <c r="AJ63" s="789"/>
      <c r="AK63" s="752"/>
      <c r="AL63" s="5" t="str">
        <f t="shared" si="40"/>
        <v/>
      </c>
      <c r="CA63" s="142" t="str">
        <f t="shared" si="41"/>
        <v/>
      </c>
      <c r="CB63" s="142" t="str">
        <f t="shared" si="42"/>
        <v/>
      </c>
      <c r="CC63" s="142" t="str">
        <f t="shared" si="43"/>
        <v/>
      </c>
      <c r="CD63" s="142" t="str">
        <f t="shared" si="44"/>
        <v/>
      </c>
      <c r="DK63" s="34">
        <f t="shared" si="37"/>
        <v>0</v>
      </c>
      <c r="DL63" s="34">
        <f t="shared" si="37"/>
        <v>0</v>
      </c>
      <c r="DM63" s="34">
        <f t="shared" si="38"/>
        <v>0</v>
      </c>
      <c r="DN63" s="34">
        <f t="shared" si="38"/>
        <v>0</v>
      </c>
    </row>
    <row r="64" spans="1:118" ht="15" customHeight="1">
      <c r="A64" s="2041"/>
      <c r="B64" s="945" t="s">
        <v>502</v>
      </c>
      <c r="C64" s="967">
        <f t="shared" si="45"/>
        <v>0</v>
      </c>
      <c r="D64" s="733">
        <f t="shared" si="39"/>
        <v>0</v>
      </c>
      <c r="E64" s="902">
        <f t="shared" si="39"/>
        <v>0</v>
      </c>
      <c r="F64" s="722"/>
      <c r="G64" s="723"/>
      <c r="H64" s="722"/>
      <c r="I64" s="723"/>
      <c r="J64" s="722"/>
      <c r="K64" s="723"/>
      <c r="L64" s="722"/>
      <c r="M64" s="723"/>
      <c r="N64" s="722"/>
      <c r="O64" s="723"/>
      <c r="P64" s="722"/>
      <c r="Q64" s="723"/>
      <c r="R64" s="722"/>
      <c r="S64" s="723"/>
      <c r="T64" s="722"/>
      <c r="U64" s="723"/>
      <c r="V64" s="722"/>
      <c r="W64" s="723"/>
      <c r="X64" s="722"/>
      <c r="Y64" s="723"/>
      <c r="Z64" s="722"/>
      <c r="AA64" s="723"/>
      <c r="AB64" s="722"/>
      <c r="AC64" s="723"/>
      <c r="AD64" s="722"/>
      <c r="AE64" s="723"/>
      <c r="AF64" s="852"/>
      <c r="AG64" s="762"/>
      <c r="AH64" s="852"/>
      <c r="AI64" s="723"/>
      <c r="AJ64" s="852"/>
      <c r="AK64" s="723"/>
      <c r="AL64" s="5" t="str">
        <f t="shared" si="40"/>
        <v/>
      </c>
      <c r="CA64" s="142" t="str">
        <f t="shared" si="41"/>
        <v/>
      </c>
      <c r="CB64" s="142" t="str">
        <f t="shared" si="42"/>
        <v/>
      </c>
      <c r="CC64" s="142" t="str">
        <f t="shared" si="43"/>
        <v/>
      </c>
      <c r="CD64" s="142" t="str">
        <f t="shared" si="44"/>
        <v/>
      </c>
      <c r="DK64" s="34">
        <f t="shared" si="37"/>
        <v>0</v>
      </c>
      <c r="DL64" s="34">
        <f t="shared" si="37"/>
        <v>0</v>
      </c>
      <c r="DM64" s="34">
        <f t="shared" si="38"/>
        <v>0</v>
      </c>
      <c r="DN64" s="34">
        <f t="shared" si="38"/>
        <v>0</v>
      </c>
    </row>
    <row r="65" spans="1:118" ht="15" customHeight="1">
      <c r="A65" s="2042" t="s">
        <v>503</v>
      </c>
      <c r="B65" s="1618" t="s">
        <v>504</v>
      </c>
      <c r="C65" s="968">
        <f t="shared" si="45"/>
        <v>0</v>
      </c>
      <c r="D65" s="740">
        <f>+F65+H65+J65+L65+N65+P65+R65+T65+V65+X65+Z65+AB65+AD65+AF65</f>
        <v>0</v>
      </c>
      <c r="E65" s="934">
        <f>+G65+I65+K65+M65+O65+Q65+S65+U65+W65+Y65+AA65+AC65+AE65+AG65</f>
        <v>0</v>
      </c>
      <c r="F65" s="751"/>
      <c r="G65" s="752"/>
      <c r="H65" s="751"/>
      <c r="I65" s="752"/>
      <c r="J65" s="751"/>
      <c r="K65" s="752"/>
      <c r="L65" s="751"/>
      <c r="M65" s="752"/>
      <c r="N65" s="751"/>
      <c r="O65" s="752"/>
      <c r="P65" s="751"/>
      <c r="Q65" s="752"/>
      <c r="R65" s="751"/>
      <c r="S65" s="752"/>
      <c r="T65" s="751"/>
      <c r="U65" s="752"/>
      <c r="V65" s="751"/>
      <c r="W65" s="752"/>
      <c r="X65" s="751"/>
      <c r="Y65" s="752"/>
      <c r="Z65" s="751"/>
      <c r="AA65" s="752"/>
      <c r="AB65" s="751"/>
      <c r="AC65" s="752"/>
      <c r="AD65" s="751"/>
      <c r="AE65" s="752"/>
      <c r="AF65" s="789"/>
      <c r="AG65" s="753"/>
      <c r="AH65" s="789"/>
      <c r="AI65" s="752"/>
      <c r="AJ65" s="789"/>
      <c r="AK65" s="752"/>
      <c r="AL65" s="5" t="str">
        <f t="shared" si="40"/>
        <v/>
      </c>
      <c r="CA65" s="142" t="str">
        <f t="shared" si="41"/>
        <v/>
      </c>
      <c r="CB65" s="142" t="str">
        <f t="shared" si="42"/>
        <v/>
      </c>
      <c r="CC65" s="142" t="str">
        <f t="shared" si="43"/>
        <v/>
      </c>
      <c r="CD65" s="142" t="str">
        <f t="shared" si="44"/>
        <v/>
      </c>
      <c r="DK65" s="34">
        <f t="shared" si="37"/>
        <v>0</v>
      </c>
      <c r="DL65" s="34">
        <f t="shared" si="37"/>
        <v>0</v>
      </c>
      <c r="DM65" s="34">
        <f t="shared" si="38"/>
        <v>0</v>
      </c>
      <c r="DN65" s="34">
        <f t="shared" si="38"/>
        <v>0</v>
      </c>
    </row>
    <row r="66" spans="1:118" ht="15" customHeight="1">
      <c r="A66" s="2043"/>
      <c r="B66" s="944" t="s">
        <v>505</v>
      </c>
      <c r="C66" s="962">
        <f t="shared" si="45"/>
        <v>0</v>
      </c>
      <c r="D66" s="845">
        <f t="shared" ref="D66:E68" si="46">+F66+H66+J66+L66+N66+P66+R66+T66+V66+X66+Z66+AB66+AD66+AF66</f>
        <v>0</v>
      </c>
      <c r="E66" s="926">
        <f t="shared" si="46"/>
        <v>0</v>
      </c>
      <c r="F66" s="908"/>
      <c r="G66" s="909"/>
      <c r="H66" s="908"/>
      <c r="I66" s="909"/>
      <c r="J66" s="908"/>
      <c r="K66" s="909"/>
      <c r="L66" s="908"/>
      <c r="M66" s="909"/>
      <c r="N66" s="908"/>
      <c r="O66" s="909"/>
      <c r="P66" s="908"/>
      <c r="Q66" s="909"/>
      <c r="R66" s="908"/>
      <c r="S66" s="909"/>
      <c r="T66" s="908"/>
      <c r="U66" s="909"/>
      <c r="V66" s="908"/>
      <c r="W66" s="909"/>
      <c r="X66" s="908"/>
      <c r="Y66" s="909"/>
      <c r="Z66" s="908"/>
      <c r="AA66" s="909"/>
      <c r="AB66" s="908"/>
      <c r="AC66" s="909"/>
      <c r="AD66" s="908"/>
      <c r="AE66" s="909"/>
      <c r="AF66" s="936"/>
      <c r="AG66" s="910"/>
      <c r="AH66" s="936"/>
      <c r="AI66" s="909"/>
      <c r="AJ66" s="936"/>
      <c r="AK66" s="909"/>
      <c r="AL66" s="5" t="str">
        <f t="shared" si="40"/>
        <v/>
      </c>
      <c r="CA66" s="142" t="str">
        <f t="shared" si="41"/>
        <v/>
      </c>
      <c r="CB66" s="142" t="str">
        <f t="shared" si="42"/>
        <v/>
      </c>
      <c r="CC66" s="142" t="str">
        <f t="shared" si="43"/>
        <v/>
      </c>
      <c r="CD66" s="142" t="str">
        <f t="shared" si="44"/>
        <v/>
      </c>
      <c r="DK66" s="34">
        <f t="shared" si="37"/>
        <v>0</v>
      </c>
      <c r="DL66" s="34">
        <f t="shared" si="37"/>
        <v>0</v>
      </c>
      <c r="DM66" s="34">
        <f t="shared" si="38"/>
        <v>0</v>
      </c>
      <c r="DN66" s="34">
        <f t="shared" si="38"/>
        <v>0</v>
      </c>
    </row>
    <row r="67" spans="1:118" ht="15" customHeight="1">
      <c r="A67" s="2044"/>
      <c r="B67" s="946" t="s">
        <v>506</v>
      </c>
      <c r="C67" s="968">
        <f t="shared" si="45"/>
        <v>0</v>
      </c>
      <c r="D67" s="733">
        <f t="shared" si="46"/>
        <v>0</v>
      </c>
      <c r="E67" s="930">
        <f t="shared" si="46"/>
        <v>0</v>
      </c>
      <c r="F67" s="722"/>
      <c r="G67" s="723"/>
      <c r="H67" s="722"/>
      <c r="I67" s="723"/>
      <c r="J67" s="722"/>
      <c r="K67" s="723"/>
      <c r="L67" s="722"/>
      <c r="M67" s="723"/>
      <c r="N67" s="722"/>
      <c r="O67" s="723"/>
      <c r="P67" s="722"/>
      <c r="Q67" s="723"/>
      <c r="R67" s="722"/>
      <c r="S67" s="723"/>
      <c r="T67" s="722"/>
      <c r="U67" s="723"/>
      <c r="V67" s="722"/>
      <c r="W67" s="723"/>
      <c r="X67" s="722"/>
      <c r="Y67" s="723"/>
      <c r="Z67" s="722"/>
      <c r="AA67" s="723"/>
      <c r="AB67" s="722"/>
      <c r="AC67" s="723"/>
      <c r="AD67" s="722"/>
      <c r="AE67" s="723"/>
      <c r="AF67" s="852"/>
      <c r="AG67" s="762"/>
      <c r="AH67" s="852"/>
      <c r="AI67" s="723"/>
      <c r="AJ67" s="852"/>
      <c r="AK67" s="723"/>
      <c r="AL67" s="5" t="str">
        <f t="shared" si="40"/>
        <v/>
      </c>
      <c r="CA67" s="142" t="str">
        <f t="shared" si="41"/>
        <v/>
      </c>
      <c r="CB67" s="142" t="str">
        <f t="shared" si="42"/>
        <v/>
      </c>
      <c r="CC67" s="142" t="str">
        <f t="shared" si="43"/>
        <v/>
      </c>
      <c r="CD67" s="142" t="str">
        <f t="shared" si="44"/>
        <v/>
      </c>
      <c r="DK67" s="34">
        <f t="shared" si="37"/>
        <v>0</v>
      </c>
      <c r="DL67" s="34">
        <f t="shared" si="37"/>
        <v>0</v>
      </c>
      <c r="DM67" s="34">
        <f t="shared" si="38"/>
        <v>0</v>
      </c>
      <c r="DN67" s="34">
        <f t="shared" si="38"/>
        <v>0</v>
      </c>
    </row>
    <row r="68" spans="1:118" ht="15" customHeight="1">
      <c r="A68" s="2045" t="s">
        <v>532</v>
      </c>
      <c r="B68" s="2046"/>
      <c r="C68" s="968">
        <f t="shared" si="45"/>
        <v>0</v>
      </c>
      <c r="D68" s="740">
        <f t="shared" si="46"/>
        <v>0</v>
      </c>
      <c r="E68" s="934">
        <f t="shared" si="46"/>
        <v>0</v>
      </c>
      <c r="F68" s="751"/>
      <c r="G68" s="752"/>
      <c r="H68" s="751"/>
      <c r="I68" s="752"/>
      <c r="J68" s="751"/>
      <c r="K68" s="752"/>
      <c r="L68" s="751"/>
      <c r="M68" s="752"/>
      <c r="N68" s="751"/>
      <c r="O68" s="752"/>
      <c r="P68" s="751"/>
      <c r="Q68" s="752"/>
      <c r="R68" s="751"/>
      <c r="S68" s="752"/>
      <c r="T68" s="751"/>
      <c r="U68" s="752"/>
      <c r="V68" s="751"/>
      <c r="W68" s="752"/>
      <c r="X68" s="751"/>
      <c r="Y68" s="752"/>
      <c r="Z68" s="751"/>
      <c r="AA68" s="752"/>
      <c r="AB68" s="751"/>
      <c r="AC68" s="752"/>
      <c r="AD68" s="709"/>
      <c r="AE68" s="710"/>
      <c r="AF68" s="789"/>
      <c r="AG68" s="753"/>
      <c r="AH68" s="789"/>
      <c r="AI68" s="752"/>
      <c r="AJ68" s="789"/>
      <c r="AK68" s="752"/>
      <c r="AL68" s="5" t="str">
        <f t="shared" si="40"/>
        <v/>
      </c>
      <c r="CA68" s="142" t="str">
        <f t="shared" si="41"/>
        <v/>
      </c>
      <c r="CB68" s="142" t="str">
        <f t="shared" si="42"/>
        <v/>
      </c>
      <c r="CC68" s="142" t="str">
        <f t="shared" si="43"/>
        <v/>
      </c>
      <c r="CD68" s="142" t="str">
        <f t="shared" si="44"/>
        <v/>
      </c>
      <c r="DK68" s="34">
        <f t="shared" si="37"/>
        <v>0</v>
      </c>
      <c r="DL68" s="34">
        <f t="shared" si="37"/>
        <v>0</v>
      </c>
      <c r="DM68" s="34">
        <f t="shared" si="38"/>
        <v>0</v>
      </c>
      <c r="DN68" s="34">
        <f t="shared" si="38"/>
        <v>0</v>
      </c>
    </row>
    <row r="69" spans="1:118" ht="15" customHeight="1">
      <c r="A69" s="2047" t="s">
        <v>507</v>
      </c>
      <c r="B69" s="2048"/>
      <c r="C69" s="968">
        <f t="shared" si="45"/>
        <v>0</v>
      </c>
      <c r="D69" s="707">
        <f t="shared" si="39"/>
        <v>0</v>
      </c>
      <c r="E69" s="906">
        <f t="shared" si="39"/>
        <v>0</v>
      </c>
      <c r="F69" s="709"/>
      <c r="G69" s="710"/>
      <c r="H69" s="709"/>
      <c r="I69" s="710"/>
      <c r="J69" s="709"/>
      <c r="K69" s="710"/>
      <c r="L69" s="709"/>
      <c r="M69" s="710"/>
      <c r="N69" s="709"/>
      <c r="O69" s="710"/>
      <c r="P69" s="709"/>
      <c r="Q69" s="710"/>
      <c r="R69" s="709"/>
      <c r="S69" s="710"/>
      <c r="T69" s="709"/>
      <c r="U69" s="710"/>
      <c r="V69" s="709"/>
      <c r="W69" s="710"/>
      <c r="X69" s="709"/>
      <c r="Y69" s="710"/>
      <c r="Z69" s="709"/>
      <c r="AA69" s="710"/>
      <c r="AB69" s="709"/>
      <c r="AC69" s="710"/>
      <c r="AD69" s="709"/>
      <c r="AE69" s="710"/>
      <c r="AF69" s="928"/>
      <c r="AG69" s="731"/>
      <c r="AH69" s="789"/>
      <c r="AI69" s="752"/>
      <c r="AJ69" s="789"/>
      <c r="AK69" s="752"/>
      <c r="AL69" s="5" t="str">
        <f t="shared" si="40"/>
        <v/>
      </c>
      <c r="CA69" s="142" t="str">
        <f t="shared" si="41"/>
        <v/>
      </c>
      <c r="CB69" s="142" t="str">
        <f t="shared" si="42"/>
        <v/>
      </c>
      <c r="CC69" s="142" t="str">
        <f t="shared" si="43"/>
        <v/>
      </c>
      <c r="CD69" s="142" t="str">
        <f t="shared" si="44"/>
        <v/>
      </c>
      <c r="DK69" s="34">
        <f t="shared" si="37"/>
        <v>0</v>
      </c>
      <c r="DL69" s="34">
        <f t="shared" si="37"/>
        <v>0</v>
      </c>
      <c r="DM69" s="34">
        <f t="shared" si="38"/>
        <v>0</v>
      </c>
      <c r="DN69" s="34">
        <f t="shared" si="38"/>
        <v>0</v>
      </c>
    </row>
    <row r="70" spans="1:118" ht="15" customHeight="1">
      <c r="A70" s="2047" t="s">
        <v>508</v>
      </c>
      <c r="B70" s="2048"/>
      <c r="C70" s="965">
        <f t="shared" si="45"/>
        <v>0</v>
      </c>
      <c r="D70" s="740">
        <f>+F70+H70+J70+L70+N70+P70+R70+T70+V70+X70+Z70+AB70+AD70+AF70</f>
        <v>0</v>
      </c>
      <c r="E70" s="934">
        <f>+G70+I70+K70+M70+O70+Q70+S70+U70+W70+Y70+AA70+AC70+AE70+AG70</f>
        <v>0</v>
      </c>
      <c r="F70" s="751"/>
      <c r="G70" s="752"/>
      <c r="H70" s="751"/>
      <c r="I70" s="752"/>
      <c r="J70" s="751"/>
      <c r="K70" s="752"/>
      <c r="L70" s="751"/>
      <c r="M70" s="752"/>
      <c r="N70" s="751"/>
      <c r="O70" s="752"/>
      <c r="P70" s="751"/>
      <c r="Q70" s="752"/>
      <c r="R70" s="751"/>
      <c r="S70" s="752"/>
      <c r="T70" s="751"/>
      <c r="U70" s="752"/>
      <c r="V70" s="751"/>
      <c r="W70" s="752"/>
      <c r="X70" s="751"/>
      <c r="Y70" s="752"/>
      <c r="Z70" s="751"/>
      <c r="AA70" s="752"/>
      <c r="AB70" s="751"/>
      <c r="AC70" s="752"/>
      <c r="AD70" s="751"/>
      <c r="AE70" s="752"/>
      <c r="AF70" s="789"/>
      <c r="AG70" s="753"/>
      <c r="AH70" s="789"/>
      <c r="AI70" s="752"/>
      <c r="AJ70" s="789"/>
      <c r="AK70" s="752"/>
      <c r="AL70" s="5" t="str">
        <f t="shared" si="40"/>
        <v/>
      </c>
      <c r="CA70" s="142" t="str">
        <f t="shared" si="41"/>
        <v/>
      </c>
      <c r="CB70" s="142" t="str">
        <f t="shared" si="42"/>
        <v/>
      </c>
      <c r="CC70" s="142" t="str">
        <f t="shared" si="43"/>
        <v/>
      </c>
      <c r="CD70" s="142" t="str">
        <f t="shared" si="44"/>
        <v/>
      </c>
      <c r="DK70" s="34">
        <f t="shared" si="37"/>
        <v>0</v>
      </c>
      <c r="DL70" s="34">
        <f t="shared" si="37"/>
        <v>0</v>
      </c>
      <c r="DM70" s="34">
        <f t="shared" si="38"/>
        <v>0</v>
      </c>
      <c r="DN70" s="34">
        <f t="shared" si="38"/>
        <v>0</v>
      </c>
    </row>
    <row r="71" spans="1:118" ht="15" customHeight="1">
      <c r="A71" s="2030" t="s">
        <v>509</v>
      </c>
      <c r="B71" s="2031"/>
      <c r="C71" s="968">
        <f t="shared" si="45"/>
        <v>0</v>
      </c>
      <c r="D71" s="740">
        <f t="shared" si="39"/>
        <v>0</v>
      </c>
      <c r="E71" s="787">
        <f t="shared" si="39"/>
        <v>0</v>
      </c>
      <c r="F71" s="789"/>
      <c r="G71" s="752"/>
      <c r="H71" s="751"/>
      <c r="I71" s="752"/>
      <c r="J71" s="751"/>
      <c r="K71" s="752"/>
      <c r="L71" s="751"/>
      <c r="M71" s="752"/>
      <c r="N71" s="751"/>
      <c r="O71" s="752"/>
      <c r="P71" s="751"/>
      <c r="Q71" s="752"/>
      <c r="R71" s="751"/>
      <c r="S71" s="752"/>
      <c r="T71" s="751"/>
      <c r="U71" s="752"/>
      <c r="V71" s="751"/>
      <c r="W71" s="752"/>
      <c r="X71" s="751"/>
      <c r="Y71" s="752"/>
      <c r="Z71" s="751"/>
      <c r="AA71" s="752"/>
      <c r="AB71" s="751"/>
      <c r="AC71" s="752"/>
      <c r="AD71" s="751"/>
      <c r="AE71" s="752"/>
      <c r="AF71" s="789"/>
      <c r="AG71" s="753"/>
      <c r="AH71" s="789"/>
      <c r="AI71" s="752"/>
      <c r="AJ71" s="789"/>
      <c r="AK71" s="752"/>
      <c r="AL71" s="5" t="str">
        <f t="shared" si="40"/>
        <v/>
      </c>
      <c r="CA71" s="142" t="str">
        <f t="shared" si="41"/>
        <v/>
      </c>
      <c r="CB71" s="142" t="str">
        <f t="shared" si="42"/>
        <v/>
      </c>
      <c r="CC71" s="142" t="str">
        <f t="shared" si="43"/>
        <v/>
      </c>
      <c r="CD71" s="142" t="str">
        <f t="shared" si="44"/>
        <v/>
      </c>
      <c r="DK71" s="34">
        <f t="shared" si="37"/>
        <v>0</v>
      </c>
      <c r="DL71" s="34">
        <f t="shared" si="37"/>
        <v>0</v>
      </c>
      <c r="DM71" s="34">
        <f t="shared" si="38"/>
        <v>0</v>
      </c>
      <c r="DN71" s="34">
        <f t="shared" si="38"/>
        <v>0</v>
      </c>
    </row>
    <row r="72" spans="1:118" ht="15" customHeight="1">
      <c r="A72" s="2030" t="s">
        <v>510</v>
      </c>
      <c r="B72" s="2031"/>
      <c r="C72" s="968">
        <f t="shared" si="45"/>
        <v>0</v>
      </c>
      <c r="D72" s="740">
        <f t="shared" si="39"/>
        <v>0</v>
      </c>
      <c r="E72" s="787">
        <f t="shared" si="39"/>
        <v>0</v>
      </c>
      <c r="F72" s="928"/>
      <c r="G72" s="900"/>
      <c r="H72" s="709"/>
      <c r="I72" s="710"/>
      <c r="J72" s="928"/>
      <c r="K72" s="710"/>
      <c r="L72" s="928"/>
      <c r="M72" s="710"/>
      <c r="N72" s="928"/>
      <c r="O72" s="710"/>
      <c r="P72" s="928"/>
      <c r="Q72" s="710"/>
      <c r="R72" s="928"/>
      <c r="S72" s="710"/>
      <c r="T72" s="709"/>
      <c r="U72" s="710"/>
      <c r="V72" s="709"/>
      <c r="W72" s="710"/>
      <c r="X72" s="709"/>
      <c r="Y72" s="710"/>
      <c r="Z72" s="709"/>
      <c r="AA72" s="710"/>
      <c r="AB72" s="709"/>
      <c r="AC72" s="710"/>
      <c r="AD72" s="709"/>
      <c r="AE72" s="710"/>
      <c r="AF72" s="928"/>
      <c r="AG72" s="947"/>
      <c r="AH72" s="928"/>
      <c r="AI72" s="710"/>
      <c r="AJ72" s="928"/>
      <c r="AK72" s="710"/>
      <c r="AL72" s="5" t="str">
        <f t="shared" si="40"/>
        <v/>
      </c>
      <c r="CA72" s="142" t="str">
        <f t="shared" si="41"/>
        <v/>
      </c>
      <c r="CB72" s="142" t="str">
        <f t="shared" si="42"/>
        <v/>
      </c>
      <c r="CC72" s="142" t="str">
        <f t="shared" si="43"/>
        <v/>
      </c>
      <c r="CD72" s="142" t="str">
        <f t="shared" si="44"/>
        <v/>
      </c>
      <c r="DK72" s="34">
        <f t="shared" si="37"/>
        <v>0</v>
      </c>
      <c r="DL72" s="34">
        <f t="shared" si="37"/>
        <v>0</v>
      </c>
      <c r="DM72" s="34">
        <f t="shared" si="38"/>
        <v>0</v>
      </c>
      <c r="DN72" s="34">
        <f t="shared" si="38"/>
        <v>0</v>
      </c>
    </row>
    <row r="73" spans="1:118" ht="15" customHeight="1">
      <c r="A73" s="2032" t="s">
        <v>511</v>
      </c>
      <c r="B73" s="2033"/>
      <c r="C73" s="968">
        <f t="shared" si="45"/>
        <v>0</v>
      </c>
      <c r="D73" s="733">
        <f t="shared" ref="D73:E73" si="47">+F73+H73+J73+L73+N73+P73+R73+T73+V73+X73+Z73+AB73+AD73+AF73</f>
        <v>0</v>
      </c>
      <c r="E73" s="793">
        <f t="shared" si="47"/>
        <v>0</v>
      </c>
      <c r="F73" s="795"/>
      <c r="G73" s="794"/>
      <c r="H73" s="748"/>
      <c r="I73" s="749"/>
      <c r="J73" s="795"/>
      <c r="K73" s="749"/>
      <c r="L73" s="795"/>
      <c r="M73" s="749"/>
      <c r="N73" s="795"/>
      <c r="O73" s="749"/>
      <c r="P73" s="795"/>
      <c r="Q73" s="749"/>
      <c r="R73" s="795"/>
      <c r="S73" s="749"/>
      <c r="T73" s="795"/>
      <c r="U73" s="749"/>
      <c r="V73" s="795"/>
      <c r="W73" s="749"/>
      <c r="X73" s="795"/>
      <c r="Y73" s="749"/>
      <c r="Z73" s="795"/>
      <c r="AA73" s="749"/>
      <c r="AB73" s="795"/>
      <c r="AC73" s="749"/>
      <c r="AD73" s="795"/>
      <c r="AE73" s="749"/>
      <c r="AF73" s="795"/>
      <c r="AG73" s="796"/>
      <c r="AH73" s="795"/>
      <c r="AI73" s="749"/>
      <c r="AJ73" s="795"/>
      <c r="AK73" s="749"/>
      <c r="AL73" s="5" t="str">
        <f t="shared" si="40"/>
        <v/>
      </c>
      <c r="CA73" s="142" t="str">
        <f t="shared" si="41"/>
        <v/>
      </c>
      <c r="CB73" s="142" t="str">
        <f t="shared" si="42"/>
        <v/>
      </c>
      <c r="CC73" s="142" t="str">
        <f t="shared" si="43"/>
        <v/>
      </c>
      <c r="CD73" s="142" t="str">
        <f t="shared" si="44"/>
        <v/>
      </c>
      <c r="DK73" s="34">
        <f t="shared" si="37"/>
        <v>0</v>
      </c>
      <c r="DL73" s="34">
        <f t="shared" si="37"/>
        <v>0</v>
      </c>
      <c r="DM73" s="34">
        <f t="shared" si="38"/>
        <v>0</v>
      </c>
      <c r="DN73" s="34">
        <f t="shared" si="38"/>
        <v>0</v>
      </c>
    </row>
    <row r="74" spans="1:118" ht="15" customHeight="1">
      <c r="A74" s="948" t="s">
        <v>512</v>
      </c>
      <c r="B74" s="949"/>
      <c r="C74" s="2034"/>
      <c r="D74" s="2034"/>
      <c r="E74" s="2034"/>
      <c r="F74" s="2034"/>
      <c r="G74" s="2034"/>
      <c r="H74" s="2034"/>
      <c r="I74" s="2034"/>
      <c r="J74" s="2034"/>
      <c r="K74" s="2034"/>
      <c r="L74" s="2034"/>
      <c r="M74" s="2034"/>
      <c r="N74" s="2034"/>
      <c r="O74" s="2034"/>
      <c r="P74" s="2034"/>
      <c r="Q74" s="2034"/>
      <c r="R74" s="2034"/>
      <c r="S74" s="2034"/>
      <c r="T74" s="2034"/>
      <c r="U74" s="2034"/>
      <c r="V74" s="2034"/>
      <c r="W74" s="2034"/>
      <c r="X74" s="2034"/>
      <c r="Y74" s="2034"/>
      <c r="Z74" s="2034"/>
      <c r="AA74" s="2034"/>
      <c r="AB74" s="2034"/>
      <c r="AC74" s="2034"/>
      <c r="AD74" s="2034"/>
      <c r="AE74" s="2034"/>
      <c r="AF74" s="2034"/>
      <c r="AG74" s="2034"/>
      <c r="AH74" s="2034"/>
      <c r="AI74" s="2034"/>
      <c r="AJ74" s="2034"/>
      <c r="AK74" s="2035"/>
    </row>
    <row r="75" spans="1:118" ht="15" customHeight="1">
      <c r="A75" s="2036" t="s">
        <v>486</v>
      </c>
      <c r="B75" s="2037"/>
      <c r="C75" s="1649">
        <f>SUM(D75:E75)</f>
        <v>0</v>
      </c>
      <c r="D75" s="740">
        <f>+F75+H75+J75+L75+N75+P75+R75+T75+V75+X75+Z75+AB75+AD75+AF75</f>
        <v>0</v>
      </c>
      <c r="E75" s="934">
        <f>+G75+I75+K75+M75+O75+Q75+S75+U75+W75+Y75+AA75+AC75+AE75+AG75</f>
        <v>0</v>
      </c>
      <c r="F75" s="751"/>
      <c r="G75" s="752"/>
      <c r="H75" s="751"/>
      <c r="I75" s="752"/>
      <c r="J75" s="751"/>
      <c r="K75" s="752"/>
      <c r="L75" s="751"/>
      <c r="M75" s="752"/>
      <c r="N75" s="751"/>
      <c r="O75" s="752"/>
      <c r="P75" s="751"/>
      <c r="Q75" s="752"/>
      <c r="R75" s="751"/>
      <c r="S75" s="752"/>
      <c r="T75" s="751"/>
      <c r="U75" s="752"/>
      <c r="V75" s="751"/>
      <c r="W75" s="752"/>
      <c r="X75" s="751"/>
      <c r="Y75" s="752"/>
      <c r="Z75" s="751"/>
      <c r="AA75" s="752"/>
      <c r="AB75" s="751"/>
      <c r="AC75" s="752"/>
      <c r="AD75" s="751"/>
      <c r="AE75" s="752"/>
      <c r="AF75" s="789"/>
      <c r="AG75" s="753"/>
      <c r="AH75" s="789"/>
      <c r="AI75" s="752"/>
      <c r="AJ75" s="789"/>
      <c r="AK75" s="752"/>
      <c r="AL75" s="5" t="str">
        <f>CA75&amp;CB75&amp;CC75&amp;CD75</f>
        <v/>
      </c>
      <c r="CA75" s="142" t="str">
        <f t="shared" ref="CA75:CA80" si="48">IF(AND(D75&gt;0,OR(AH75=""))," * No olvide digitar la variable Pueblos Originarios Hombres. Digite Cero si no tiene.",IF(AH75&gt;D75," * La variable Pueblos Originarios Hombres no puede ser Mayor al Total Hombres.",""))</f>
        <v/>
      </c>
      <c r="CB75" s="142" t="str">
        <f t="shared" ref="CB75:CB80" si="49">IF(AND(E75&gt;0,OR(AI75=""))," * No olvide digitar la variable Pueblos Originarios Mujeres. Digite Cero si no tiene.",IF(AI75&gt;E75," * La variable Pueblos Originarios Mujeres no puede ser Mayor al Total Mujeres.",""))</f>
        <v/>
      </c>
      <c r="CC75" s="142" t="str">
        <f t="shared" ref="CC75:CC80" si="50">IF(AND($D75&gt;0,OR(AJ75=""))," * No olvide digitar la variable Migrantes Hombres. Digite Cero si no tiene.",IF(AJ75&gt;$D75," * La variable Migrantes Hombres no puede ser Mayor al Total Hombres.",""))</f>
        <v/>
      </c>
      <c r="CD75" s="142" t="str">
        <f t="shared" ref="CD75:CD80" si="51">IF(AND(E75&gt;0,OR(AK75=""))," * No olvide digitar la variable Migrantes Mujeres. Digite Cero si no tiene.",IF(AK75&gt;E75," * La variable Migrantes Mujeres no puede ser Mayor al Total Mujeres.",""))</f>
        <v/>
      </c>
      <c r="DK75" s="34">
        <f t="shared" si="37"/>
        <v>0</v>
      </c>
      <c r="DL75" s="34">
        <f t="shared" si="37"/>
        <v>0</v>
      </c>
      <c r="DM75" s="34">
        <f t="shared" si="38"/>
        <v>0</v>
      </c>
      <c r="DN75" s="34">
        <f t="shared" si="38"/>
        <v>0</v>
      </c>
    </row>
    <row r="76" spans="1:118" ht="15" customHeight="1">
      <c r="A76" s="2020" t="s">
        <v>513</v>
      </c>
      <c r="B76" s="2021"/>
      <c r="C76" s="1637">
        <f t="shared" ref="C76" si="52">SUM(D76:E76)</f>
        <v>0</v>
      </c>
      <c r="D76" s="740">
        <f t="shared" ref="D76:E80" si="53">+F76+H76+J76+L76+N76+P76+R76+T76+V76+X76+Z76+AB76+AD76+AF76</f>
        <v>0</v>
      </c>
      <c r="E76" s="934">
        <f t="shared" si="53"/>
        <v>0</v>
      </c>
      <c r="F76" s="751"/>
      <c r="G76" s="752"/>
      <c r="H76" s="751"/>
      <c r="I76" s="752"/>
      <c r="J76" s="751"/>
      <c r="K76" s="752"/>
      <c r="L76" s="751"/>
      <c r="M76" s="752"/>
      <c r="N76" s="751"/>
      <c r="O76" s="752"/>
      <c r="P76" s="751"/>
      <c r="Q76" s="752"/>
      <c r="R76" s="751"/>
      <c r="S76" s="752"/>
      <c r="T76" s="751"/>
      <c r="U76" s="752"/>
      <c r="V76" s="751"/>
      <c r="W76" s="752"/>
      <c r="X76" s="751"/>
      <c r="Y76" s="752"/>
      <c r="Z76" s="751"/>
      <c r="AA76" s="752"/>
      <c r="AB76" s="751"/>
      <c r="AC76" s="752"/>
      <c r="AD76" s="751"/>
      <c r="AE76" s="752"/>
      <c r="AF76" s="789"/>
      <c r="AG76" s="753"/>
      <c r="AH76" s="789"/>
      <c r="AI76" s="752"/>
      <c r="AJ76" s="789"/>
      <c r="AK76" s="752"/>
      <c r="AL76" s="5" t="str">
        <f t="shared" si="40"/>
        <v/>
      </c>
      <c r="CA76" s="142" t="str">
        <f t="shared" si="48"/>
        <v/>
      </c>
      <c r="CB76" s="142" t="str">
        <f t="shared" si="49"/>
        <v/>
      </c>
      <c r="CC76" s="142" t="str">
        <f t="shared" si="50"/>
        <v/>
      </c>
      <c r="CD76" s="142" t="str">
        <f t="shared" si="51"/>
        <v/>
      </c>
      <c r="DK76" s="34">
        <f t="shared" si="37"/>
        <v>0</v>
      </c>
      <c r="DL76" s="34">
        <f t="shared" si="37"/>
        <v>0</v>
      </c>
      <c r="DM76" s="34">
        <f t="shared" si="38"/>
        <v>0</v>
      </c>
      <c r="DN76" s="34">
        <f t="shared" si="38"/>
        <v>0</v>
      </c>
    </row>
    <row r="77" spans="1:118" ht="22.5" customHeight="1">
      <c r="A77" s="2020" t="s">
        <v>488</v>
      </c>
      <c r="B77" s="2021"/>
      <c r="C77" s="965">
        <f>SUM(D77:E77)</f>
        <v>0</v>
      </c>
      <c r="D77" s="740">
        <f t="shared" si="53"/>
        <v>0</v>
      </c>
      <c r="E77" s="934">
        <f t="shared" si="53"/>
        <v>0</v>
      </c>
      <c r="F77" s="751"/>
      <c r="G77" s="752"/>
      <c r="H77" s="751"/>
      <c r="I77" s="752"/>
      <c r="J77" s="751"/>
      <c r="K77" s="752"/>
      <c r="L77" s="751"/>
      <c r="M77" s="752"/>
      <c r="N77" s="751"/>
      <c r="O77" s="752"/>
      <c r="P77" s="751"/>
      <c r="Q77" s="752"/>
      <c r="R77" s="751"/>
      <c r="S77" s="752"/>
      <c r="T77" s="751"/>
      <c r="U77" s="752"/>
      <c r="V77" s="751"/>
      <c r="W77" s="752"/>
      <c r="X77" s="751"/>
      <c r="Y77" s="752"/>
      <c r="Z77" s="751"/>
      <c r="AA77" s="752"/>
      <c r="AB77" s="751"/>
      <c r="AC77" s="752"/>
      <c r="AD77" s="751"/>
      <c r="AE77" s="752"/>
      <c r="AF77" s="789"/>
      <c r="AG77" s="753"/>
      <c r="AH77" s="789"/>
      <c r="AI77" s="752"/>
      <c r="AJ77" s="789"/>
      <c r="AK77" s="752"/>
      <c r="AL77" s="5" t="str">
        <f t="shared" si="40"/>
        <v/>
      </c>
      <c r="CA77" s="142" t="str">
        <f t="shared" si="48"/>
        <v/>
      </c>
      <c r="CB77" s="142" t="str">
        <f t="shared" si="49"/>
        <v/>
      </c>
      <c r="CC77" s="142" t="str">
        <f t="shared" si="50"/>
        <v/>
      </c>
      <c r="CD77" s="142" t="str">
        <f t="shared" si="51"/>
        <v/>
      </c>
      <c r="DK77" s="34">
        <f t="shared" si="37"/>
        <v>0</v>
      </c>
      <c r="DL77" s="34">
        <f t="shared" si="37"/>
        <v>0</v>
      </c>
      <c r="DM77" s="34">
        <f t="shared" si="38"/>
        <v>0</v>
      </c>
      <c r="DN77" s="34">
        <f t="shared" si="38"/>
        <v>0</v>
      </c>
    </row>
    <row r="78" spans="1:118" ht="15" customHeight="1">
      <c r="A78" s="2020" t="s">
        <v>514</v>
      </c>
      <c r="B78" s="2021"/>
      <c r="C78" s="1637">
        <f>SUM(D78:E78)</f>
        <v>0</v>
      </c>
      <c r="D78" s="707">
        <f t="shared" si="53"/>
        <v>0</v>
      </c>
      <c r="E78" s="906">
        <f t="shared" si="53"/>
        <v>0</v>
      </c>
      <c r="F78" s="709"/>
      <c r="G78" s="710"/>
      <c r="H78" s="709"/>
      <c r="I78" s="710"/>
      <c r="J78" s="709"/>
      <c r="K78" s="710"/>
      <c r="L78" s="709"/>
      <c r="M78" s="710"/>
      <c r="N78" s="709"/>
      <c r="O78" s="710"/>
      <c r="P78" s="709"/>
      <c r="Q78" s="710"/>
      <c r="R78" s="709"/>
      <c r="S78" s="710"/>
      <c r="T78" s="709"/>
      <c r="U78" s="710"/>
      <c r="V78" s="709"/>
      <c r="W78" s="710"/>
      <c r="X78" s="709"/>
      <c r="Y78" s="710"/>
      <c r="Z78" s="709"/>
      <c r="AA78" s="710"/>
      <c r="AB78" s="709"/>
      <c r="AC78" s="710"/>
      <c r="AD78" s="709"/>
      <c r="AE78" s="710"/>
      <c r="AF78" s="928"/>
      <c r="AG78" s="731"/>
      <c r="AH78" s="789"/>
      <c r="AI78" s="752"/>
      <c r="AJ78" s="789"/>
      <c r="AK78" s="752"/>
      <c r="AL78" s="5" t="str">
        <f t="shared" si="40"/>
        <v/>
      </c>
      <c r="CA78" s="142" t="str">
        <f t="shared" si="48"/>
        <v/>
      </c>
      <c r="CB78" s="142" t="str">
        <f t="shared" si="49"/>
        <v/>
      </c>
      <c r="CC78" s="142" t="str">
        <f t="shared" si="50"/>
        <v/>
      </c>
      <c r="CD78" s="142" t="str">
        <f t="shared" si="51"/>
        <v/>
      </c>
      <c r="DK78" s="34">
        <f t="shared" si="37"/>
        <v>0</v>
      </c>
      <c r="DL78" s="34">
        <f t="shared" si="37"/>
        <v>0</v>
      </c>
      <c r="DM78" s="34">
        <f t="shared" si="38"/>
        <v>0</v>
      </c>
      <c r="DN78" s="34">
        <f t="shared" si="38"/>
        <v>0</v>
      </c>
    </row>
    <row r="79" spans="1:118" ht="15" customHeight="1">
      <c r="A79" s="2020" t="s">
        <v>508</v>
      </c>
      <c r="B79" s="2021"/>
      <c r="C79" s="760">
        <f t="shared" ref="C79:C80" si="54">SUM(D79:E79)</f>
        <v>0</v>
      </c>
      <c r="D79" s="707">
        <f t="shared" si="53"/>
        <v>0</v>
      </c>
      <c r="E79" s="787">
        <f t="shared" si="53"/>
        <v>0</v>
      </c>
      <c r="F79" s="709"/>
      <c r="G79" s="900"/>
      <c r="H79" s="709"/>
      <c r="I79" s="900"/>
      <c r="J79" s="709"/>
      <c r="K79" s="900"/>
      <c r="L79" s="709"/>
      <c r="M79" s="900"/>
      <c r="N79" s="709"/>
      <c r="O79" s="900"/>
      <c r="P79" s="709"/>
      <c r="Q79" s="900"/>
      <c r="R79" s="928"/>
      <c r="S79" s="900"/>
      <c r="T79" s="928"/>
      <c r="U79" s="900"/>
      <c r="V79" s="928"/>
      <c r="W79" s="900"/>
      <c r="X79" s="928"/>
      <c r="Y79" s="900"/>
      <c r="Z79" s="928"/>
      <c r="AA79" s="900"/>
      <c r="AB79" s="928"/>
      <c r="AC79" s="900"/>
      <c r="AD79" s="928"/>
      <c r="AE79" s="900"/>
      <c r="AF79" s="928"/>
      <c r="AG79" s="947"/>
      <c r="AH79" s="928"/>
      <c r="AI79" s="900"/>
      <c r="AJ79" s="928"/>
      <c r="AK79" s="900"/>
      <c r="AL79" s="5" t="str">
        <f t="shared" si="40"/>
        <v/>
      </c>
      <c r="CA79" s="142" t="str">
        <f t="shared" si="48"/>
        <v/>
      </c>
      <c r="CB79" s="142" t="str">
        <f t="shared" si="49"/>
        <v/>
      </c>
      <c r="CC79" s="142" t="str">
        <f t="shared" si="50"/>
        <v/>
      </c>
      <c r="CD79" s="142" t="str">
        <f t="shared" si="51"/>
        <v/>
      </c>
      <c r="DK79" s="34">
        <f t="shared" si="37"/>
        <v>0</v>
      </c>
      <c r="DL79" s="34">
        <f t="shared" si="37"/>
        <v>0</v>
      </c>
      <c r="DM79" s="34">
        <f t="shared" si="38"/>
        <v>0</v>
      </c>
      <c r="DN79" s="34">
        <f t="shared" si="38"/>
        <v>0</v>
      </c>
    </row>
    <row r="80" spans="1:118" ht="15" customHeight="1">
      <c r="A80" s="2024" t="s">
        <v>515</v>
      </c>
      <c r="B80" s="2025"/>
      <c r="C80" s="1637">
        <f t="shared" si="54"/>
        <v>0</v>
      </c>
      <c r="D80" s="777">
        <f t="shared" si="53"/>
        <v>0</v>
      </c>
      <c r="E80" s="793">
        <f t="shared" si="53"/>
        <v>0</v>
      </c>
      <c r="F80" s="722"/>
      <c r="G80" s="794"/>
      <c r="H80" s="748"/>
      <c r="I80" s="794"/>
      <c r="J80" s="748"/>
      <c r="K80" s="794"/>
      <c r="L80" s="748"/>
      <c r="M80" s="794"/>
      <c r="N80" s="748"/>
      <c r="O80" s="794"/>
      <c r="P80" s="748"/>
      <c r="Q80" s="794"/>
      <c r="R80" s="795"/>
      <c r="S80" s="794"/>
      <c r="T80" s="795"/>
      <c r="U80" s="794"/>
      <c r="V80" s="795"/>
      <c r="W80" s="794"/>
      <c r="X80" s="795"/>
      <c r="Y80" s="794"/>
      <c r="Z80" s="795"/>
      <c r="AA80" s="794"/>
      <c r="AB80" s="795"/>
      <c r="AC80" s="794"/>
      <c r="AD80" s="795"/>
      <c r="AE80" s="794"/>
      <c r="AF80" s="795"/>
      <c r="AG80" s="796"/>
      <c r="AH80" s="795"/>
      <c r="AI80" s="794"/>
      <c r="AJ80" s="795"/>
      <c r="AK80" s="794"/>
      <c r="AL80" s="5" t="str">
        <f t="shared" si="40"/>
        <v/>
      </c>
      <c r="CA80" s="142" t="str">
        <f t="shared" si="48"/>
        <v/>
      </c>
      <c r="CB80" s="142" t="str">
        <f t="shared" si="49"/>
        <v/>
      </c>
      <c r="CC80" s="142" t="str">
        <f t="shared" si="50"/>
        <v/>
      </c>
      <c r="CD80" s="142" t="str">
        <f t="shared" si="51"/>
        <v/>
      </c>
      <c r="DK80" s="34">
        <f t="shared" si="37"/>
        <v>0</v>
      </c>
      <c r="DL80" s="34">
        <f t="shared" si="37"/>
        <v>0</v>
      </c>
      <c r="DM80" s="34">
        <f t="shared" si="38"/>
        <v>0</v>
      </c>
      <c r="DN80" s="34">
        <f t="shared" si="38"/>
        <v>0</v>
      </c>
    </row>
    <row r="81" spans="1:146" ht="15" customHeight="1">
      <c r="A81" s="2026" t="s">
        <v>516</v>
      </c>
      <c r="B81" s="2027"/>
      <c r="C81" s="2028"/>
      <c r="D81" s="2028"/>
      <c r="E81" s="2028"/>
      <c r="F81" s="2028"/>
      <c r="G81" s="2028"/>
      <c r="H81" s="2028"/>
      <c r="I81" s="2028"/>
      <c r="J81" s="2028"/>
      <c r="K81" s="2028"/>
      <c r="L81" s="2028"/>
      <c r="M81" s="2028"/>
      <c r="N81" s="2028"/>
      <c r="O81" s="2028"/>
      <c r="P81" s="2028"/>
      <c r="Q81" s="2028"/>
      <c r="R81" s="2028"/>
      <c r="S81" s="2028"/>
      <c r="T81" s="2028"/>
      <c r="U81" s="2028"/>
      <c r="V81" s="2028"/>
      <c r="W81" s="2028"/>
      <c r="X81" s="2028"/>
      <c r="Y81" s="2028"/>
      <c r="Z81" s="2028"/>
      <c r="AA81" s="2028"/>
      <c r="AB81" s="2028"/>
      <c r="AC81" s="2028"/>
      <c r="AD81" s="2028"/>
      <c r="AE81" s="2028"/>
      <c r="AF81" s="2028"/>
      <c r="AG81" s="2028"/>
      <c r="AH81" s="2028"/>
      <c r="AI81" s="2028"/>
      <c r="AJ81" s="2028"/>
      <c r="AK81" s="2029"/>
    </row>
    <row r="82" spans="1:146" ht="15" customHeight="1">
      <c r="A82" s="2018" t="s">
        <v>517</v>
      </c>
      <c r="B82" s="2019"/>
      <c r="C82" s="1637">
        <f>SUM(D82:E82)</f>
        <v>0</v>
      </c>
      <c r="D82" s="697">
        <f>+F82+H82+J82+L82+N82+P82+R82+T82+V82+X82</f>
        <v>0</v>
      </c>
      <c r="E82" s="904">
        <f>+G82+I82+K82+M82+O82+Q82+S82+U82+W82+Y82</f>
        <v>0</v>
      </c>
      <c r="F82" s="699"/>
      <c r="G82" s="700"/>
      <c r="H82" s="699"/>
      <c r="I82" s="700"/>
      <c r="J82" s="699"/>
      <c r="K82" s="700"/>
      <c r="L82" s="699"/>
      <c r="M82" s="700"/>
      <c r="N82" s="699"/>
      <c r="O82" s="700"/>
      <c r="P82" s="699"/>
      <c r="Q82" s="700"/>
      <c r="R82" s="699"/>
      <c r="S82" s="700"/>
      <c r="T82" s="699"/>
      <c r="U82" s="700"/>
      <c r="V82" s="699"/>
      <c r="W82" s="700"/>
      <c r="X82" s="699"/>
      <c r="Y82" s="700"/>
      <c r="Z82" s="701"/>
      <c r="AA82" s="702"/>
      <c r="AB82" s="701"/>
      <c r="AC82" s="702"/>
      <c r="AD82" s="701"/>
      <c r="AE82" s="702"/>
      <c r="AF82" s="921"/>
      <c r="AG82" s="703"/>
      <c r="AH82" s="789"/>
      <c r="AI82" s="700"/>
      <c r="AJ82" s="789"/>
      <c r="AK82" s="752"/>
      <c r="AL82" s="5" t="str">
        <f t="shared" si="40"/>
        <v/>
      </c>
      <c r="CA82" s="142" t="str">
        <f>IF(AND(D82&gt;0,OR(AH82=""))," * No olvide digitar la variable Pueblos Originarios Hombres. Digite Cero si no tiene.",IF(AH82&gt;D82," * La variable Pueblos Originarios Hombres no puede ser Mayor al Total Hombres.",""))</f>
        <v/>
      </c>
      <c r="CB82" s="142" t="str">
        <f t="shared" ref="CB82:CB95" si="55">IF(AND(E82&gt;0,OR(AI82=""))," * No olvide digitar la variable Pueblos Originarios Mujeres. Digite Cero si no tiene.",IF(AI82&gt;E82," * La variable Pueblos Originarios Mujeres no puede ser Mayor al Total Mujeres.",""))</f>
        <v/>
      </c>
      <c r="CC82" s="142" t="str">
        <f t="shared" ref="CC82:CC95" si="56">IF(AND($D82&gt;0,OR(AJ82=""))," * No olvide digitar la variable Migrantes Hombres. Digite Cero si no tiene.",IF(AJ82&gt;$D82," * La variable Migrantes Hombres no puede ser Mayor al Total Hombres.",""))</f>
        <v/>
      </c>
      <c r="CD82" s="142" t="str">
        <f t="shared" ref="CD82:CD95" si="57">IF(AND(E82&gt;0,OR(AK82=""))," * No olvide digitar la variable Migrantes Mujeres. Digite Cero si no tiene.",IF(AK82&gt;E82," * La variable Migrantes Mujeres no puede ser Mayor al Total Mujeres.",""))</f>
        <v/>
      </c>
      <c r="DK82" s="34">
        <f t="shared" si="37"/>
        <v>0</v>
      </c>
      <c r="DL82" s="34">
        <f t="shared" si="37"/>
        <v>0</v>
      </c>
      <c r="DM82" s="34">
        <f t="shared" si="38"/>
        <v>0</v>
      </c>
      <c r="DN82" s="34">
        <f t="shared" si="38"/>
        <v>0</v>
      </c>
    </row>
    <row r="83" spans="1:146" ht="15" customHeight="1">
      <c r="A83" s="2020" t="s">
        <v>518</v>
      </c>
      <c r="B83" s="2021"/>
      <c r="C83" s="1637">
        <f>SUM(D83:E83)</f>
        <v>0</v>
      </c>
      <c r="D83" s="740">
        <f>+Z83+AB83+AD83+AF83</f>
        <v>0</v>
      </c>
      <c r="E83" s="934">
        <f>+AA83+AC83+AE83+AG83</f>
        <v>0</v>
      </c>
      <c r="F83" s="711"/>
      <c r="G83" s="712"/>
      <c r="H83" s="711"/>
      <c r="I83" s="712"/>
      <c r="J83" s="711"/>
      <c r="K83" s="712"/>
      <c r="L83" s="711"/>
      <c r="M83" s="712"/>
      <c r="N83" s="711"/>
      <c r="O83" s="712"/>
      <c r="P83" s="711"/>
      <c r="Q83" s="712"/>
      <c r="R83" s="711"/>
      <c r="S83" s="712"/>
      <c r="T83" s="711"/>
      <c r="U83" s="712"/>
      <c r="V83" s="711"/>
      <c r="W83" s="712"/>
      <c r="X83" s="711"/>
      <c r="Y83" s="712"/>
      <c r="Z83" s="751"/>
      <c r="AA83" s="752"/>
      <c r="AB83" s="751"/>
      <c r="AC83" s="752"/>
      <c r="AD83" s="751"/>
      <c r="AE83" s="752"/>
      <c r="AF83" s="789"/>
      <c r="AG83" s="753"/>
      <c r="AH83" s="789"/>
      <c r="AI83" s="752"/>
      <c r="AJ83" s="789"/>
      <c r="AK83" s="752"/>
      <c r="AL83" s="5" t="str">
        <f t="shared" si="40"/>
        <v/>
      </c>
      <c r="CA83" s="142" t="str">
        <f t="shared" ref="CA83:CA95" si="58">IF(AND(D83&gt;0,OR(AH83=""))," * No olvide digitar la variable Pueblos Originarios Hombres. Digite Cero si no tiene.",IF(AH83&gt;D83," * La variable Pueblos Originarios Hombres no puede ser Mayor al Total Hombres.",""))</f>
        <v/>
      </c>
      <c r="CB83" s="142" t="str">
        <f t="shared" si="55"/>
        <v/>
      </c>
      <c r="CC83" s="142" t="str">
        <f t="shared" si="56"/>
        <v/>
      </c>
      <c r="CD83" s="142" t="str">
        <f t="shared" si="57"/>
        <v/>
      </c>
      <c r="DK83" s="34">
        <f t="shared" si="37"/>
        <v>0</v>
      </c>
      <c r="DL83" s="34">
        <f t="shared" si="37"/>
        <v>0</v>
      </c>
      <c r="DM83" s="34">
        <f t="shared" si="38"/>
        <v>0</v>
      </c>
      <c r="DN83" s="34">
        <f t="shared" si="38"/>
        <v>0</v>
      </c>
    </row>
    <row r="84" spans="1:146" ht="15" customHeight="1">
      <c r="A84" s="2020" t="s">
        <v>519</v>
      </c>
      <c r="B84" s="2021"/>
      <c r="C84" s="1637">
        <f>SUM(D84:E84)</f>
        <v>0</v>
      </c>
      <c r="D84" s="707">
        <f>+F84+H84+J84+L84+N84+P84+R84+T84+V84+X84</f>
        <v>0</v>
      </c>
      <c r="E84" s="906">
        <f>+G84+I84+K84+M84+O84+Q84+S84+U84+W84+Y84</f>
        <v>0</v>
      </c>
      <c r="F84" s="709"/>
      <c r="G84" s="710"/>
      <c r="H84" s="709"/>
      <c r="I84" s="710"/>
      <c r="J84" s="709"/>
      <c r="K84" s="710"/>
      <c r="L84" s="709"/>
      <c r="M84" s="710"/>
      <c r="N84" s="709"/>
      <c r="O84" s="710"/>
      <c r="P84" s="709"/>
      <c r="Q84" s="710"/>
      <c r="R84" s="709"/>
      <c r="S84" s="710"/>
      <c r="T84" s="709"/>
      <c r="U84" s="710"/>
      <c r="V84" s="709"/>
      <c r="W84" s="710"/>
      <c r="X84" s="709"/>
      <c r="Y84" s="710"/>
      <c r="Z84" s="713"/>
      <c r="AA84" s="714"/>
      <c r="AB84" s="713"/>
      <c r="AC84" s="714"/>
      <c r="AD84" s="713"/>
      <c r="AE84" s="714"/>
      <c r="AF84" s="927"/>
      <c r="AG84" s="759"/>
      <c r="AH84" s="789"/>
      <c r="AI84" s="752"/>
      <c r="AJ84" s="789"/>
      <c r="AK84" s="752"/>
      <c r="AL84" s="5" t="str">
        <f t="shared" si="40"/>
        <v/>
      </c>
      <c r="CA84" s="142" t="str">
        <f t="shared" si="58"/>
        <v/>
      </c>
      <c r="CB84" s="142" t="str">
        <f t="shared" si="55"/>
        <v/>
      </c>
      <c r="CC84" s="142" t="str">
        <f t="shared" si="56"/>
        <v/>
      </c>
      <c r="CD84" s="142" t="str">
        <f t="shared" si="57"/>
        <v/>
      </c>
      <c r="DK84" s="34">
        <f t="shared" si="37"/>
        <v>0</v>
      </c>
      <c r="DL84" s="34">
        <f t="shared" si="37"/>
        <v>0</v>
      </c>
      <c r="DM84" s="34">
        <f t="shared" si="38"/>
        <v>0</v>
      </c>
      <c r="DN84" s="34">
        <f t="shared" si="38"/>
        <v>0</v>
      </c>
    </row>
    <row r="85" spans="1:146" ht="15" customHeight="1">
      <c r="A85" s="2020" t="s">
        <v>520</v>
      </c>
      <c r="B85" s="2021"/>
      <c r="C85" s="1637">
        <f>SUM(D85:E85)</f>
        <v>0</v>
      </c>
      <c r="D85" s="707">
        <f>+Z85+AB85+AD85+AF85</f>
        <v>0</v>
      </c>
      <c r="E85" s="708">
        <f>+AA85+AC85+AE85+AG85</f>
        <v>0</v>
      </c>
      <c r="F85" s="713"/>
      <c r="G85" s="714"/>
      <c r="H85" s="713"/>
      <c r="I85" s="714"/>
      <c r="J85" s="713"/>
      <c r="K85" s="714"/>
      <c r="L85" s="713"/>
      <c r="M85" s="714"/>
      <c r="N85" s="713"/>
      <c r="O85" s="714"/>
      <c r="P85" s="713"/>
      <c r="Q85" s="714"/>
      <c r="R85" s="713"/>
      <c r="S85" s="714"/>
      <c r="T85" s="713"/>
      <c r="U85" s="714"/>
      <c r="V85" s="713"/>
      <c r="W85" s="714"/>
      <c r="X85" s="713"/>
      <c r="Y85" s="714"/>
      <c r="Z85" s="709"/>
      <c r="AA85" s="710"/>
      <c r="AB85" s="709"/>
      <c r="AC85" s="710"/>
      <c r="AD85" s="709"/>
      <c r="AE85" s="710"/>
      <c r="AF85" s="928"/>
      <c r="AG85" s="731"/>
      <c r="AH85" s="928"/>
      <c r="AI85" s="710"/>
      <c r="AJ85" s="928"/>
      <c r="AK85" s="710"/>
      <c r="AL85" s="5" t="str">
        <f t="shared" si="40"/>
        <v/>
      </c>
      <c r="CA85" s="142" t="str">
        <f t="shared" si="58"/>
        <v/>
      </c>
      <c r="CB85" s="142" t="str">
        <f t="shared" si="55"/>
        <v/>
      </c>
      <c r="CC85" s="142" t="str">
        <f t="shared" si="56"/>
        <v/>
      </c>
      <c r="CD85" s="142" t="str">
        <f t="shared" si="57"/>
        <v/>
      </c>
      <c r="DK85" s="34">
        <f t="shared" si="37"/>
        <v>0</v>
      </c>
      <c r="DL85" s="34">
        <f t="shared" si="37"/>
        <v>0</v>
      </c>
      <c r="DM85" s="34">
        <f t="shared" si="38"/>
        <v>0</v>
      </c>
      <c r="DN85" s="34">
        <f t="shared" si="38"/>
        <v>0</v>
      </c>
    </row>
    <row r="86" spans="1:146" ht="15" customHeight="1">
      <c r="A86" s="2022" t="s">
        <v>521</v>
      </c>
      <c r="B86" s="2023"/>
      <c r="C86" s="1637">
        <f>SUM(D86:E86)</f>
        <v>0</v>
      </c>
      <c r="D86" s="733">
        <f>+Z86+AB86+AD86+AF86</f>
        <v>0</v>
      </c>
      <c r="E86" s="734">
        <f>+AA86+AC86+AE86+AG86</f>
        <v>0</v>
      </c>
      <c r="F86" s="744"/>
      <c r="G86" s="745"/>
      <c r="H86" s="744"/>
      <c r="I86" s="745"/>
      <c r="J86" s="744"/>
      <c r="K86" s="745"/>
      <c r="L86" s="744"/>
      <c r="M86" s="745"/>
      <c r="N86" s="744"/>
      <c r="O86" s="745"/>
      <c r="P86" s="744"/>
      <c r="Q86" s="745"/>
      <c r="R86" s="744"/>
      <c r="S86" s="745"/>
      <c r="T86" s="744"/>
      <c r="U86" s="745"/>
      <c r="V86" s="744"/>
      <c r="W86" s="745"/>
      <c r="X86" s="744"/>
      <c r="Y86" s="745"/>
      <c r="Z86" s="722"/>
      <c r="AA86" s="723"/>
      <c r="AB86" s="722"/>
      <c r="AC86" s="723"/>
      <c r="AD86" s="722"/>
      <c r="AE86" s="723"/>
      <c r="AF86" s="852"/>
      <c r="AG86" s="762"/>
      <c r="AH86" s="852"/>
      <c r="AI86" s="723"/>
      <c r="AJ86" s="852"/>
      <c r="AK86" s="723"/>
      <c r="AL86" s="5" t="str">
        <f t="shared" si="40"/>
        <v/>
      </c>
      <c r="CA86" s="142" t="str">
        <f t="shared" si="58"/>
        <v/>
      </c>
      <c r="CB86" s="142" t="str">
        <f t="shared" si="55"/>
        <v/>
      </c>
      <c r="CC86" s="142" t="str">
        <f t="shared" si="56"/>
        <v/>
      </c>
      <c r="CD86" s="142" t="str">
        <f t="shared" si="57"/>
        <v/>
      </c>
      <c r="DK86" s="34">
        <f t="shared" si="37"/>
        <v>0</v>
      </c>
      <c r="DL86" s="34">
        <f t="shared" si="37"/>
        <v>0</v>
      </c>
      <c r="DM86" s="34">
        <f t="shared" si="38"/>
        <v>0</v>
      </c>
      <c r="DN86" s="34">
        <f t="shared" si="38"/>
        <v>0</v>
      </c>
    </row>
    <row r="87" spans="1:146" ht="15" customHeight="1">
      <c r="A87" s="2447" t="s">
        <v>480</v>
      </c>
      <c r="B87" s="2448"/>
      <c r="C87" s="1650">
        <f t="shared" ref="C87" si="59">SUM(D87:E87)</f>
        <v>0</v>
      </c>
      <c r="D87" s="777">
        <f>+F87+H87+J87+L87+N87+P87+R87+T87+V87+X87+Z87+AB87+AD87+AF87</f>
        <v>0</v>
      </c>
      <c r="E87" s="778">
        <f>+G87+I87+K87+M87+O87+Q87+S87+U87+W87+Y87+AA87+AC87+AE87+AG87</f>
        <v>0</v>
      </c>
      <c r="F87" s="722"/>
      <c r="G87" s="723"/>
      <c r="H87" s="722"/>
      <c r="I87" s="723"/>
      <c r="J87" s="722"/>
      <c r="K87" s="723"/>
      <c r="L87" s="722"/>
      <c r="M87" s="723"/>
      <c r="N87" s="722"/>
      <c r="O87" s="723"/>
      <c r="P87" s="722"/>
      <c r="Q87" s="723"/>
      <c r="R87" s="722"/>
      <c r="S87" s="723"/>
      <c r="T87" s="722"/>
      <c r="U87" s="723"/>
      <c r="V87" s="722"/>
      <c r="W87" s="723"/>
      <c r="X87" s="722"/>
      <c r="Y87" s="723"/>
      <c r="Z87" s="722"/>
      <c r="AA87" s="723"/>
      <c r="AB87" s="722"/>
      <c r="AC87" s="723"/>
      <c r="AD87" s="722"/>
      <c r="AE87" s="723"/>
      <c r="AF87" s="722"/>
      <c r="AG87" s="762"/>
      <c r="AH87" s="852"/>
      <c r="AI87" s="723"/>
      <c r="AJ87" s="852"/>
      <c r="AK87" s="723"/>
      <c r="AL87" s="5" t="str">
        <f t="shared" si="40"/>
        <v/>
      </c>
      <c r="CA87" s="142" t="str">
        <f t="shared" si="58"/>
        <v/>
      </c>
      <c r="CB87" s="142" t="str">
        <f t="shared" si="55"/>
        <v/>
      </c>
      <c r="CC87" s="142" t="str">
        <f t="shared" si="56"/>
        <v/>
      </c>
      <c r="CD87" s="142" t="str">
        <f t="shared" si="57"/>
        <v/>
      </c>
      <c r="DK87" s="34">
        <f t="shared" si="37"/>
        <v>0</v>
      </c>
      <c r="DL87" s="34">
        <f t="shared" si="37"/>
        <v>0</v>
      </c>
      <c r="DM87" s="34">
        <f t="shared" si="38"/>
        <v>0</v>
      </c>
      <c r="DN87" s="34">
        <f t="shared" si="38"/>
        <v>0</v>
      </c>
    </row>
    <row r="88" spans="1:146" ht="15" customHeight="1">
      <c r="A88" s="2449" t="s">
        <v>522</v>
      </c>
      <c r="B88" s="2450" t="s">
        <v>523</v>
      </c>
      <c r="C88" s="1651">
        <f t="shared" ref="C88:C95" si="60">SUM(D88:E88)</f>
        <v>0</v>
      </c>
      <c r="D88" s="740">
        <f t="shared" ref="D88:E95" si="61">+F88+H88+J88+L88+N88+P88+R88+T88+V88+X88+Z88+AB88+AD88+AF88</f>
        <v>0</v>
      </c>
      <c r="E88" s="708">
        <f t="shared" si="61"/>
        <v>0</v>
      </c>
      <c r="F88" s="751"/>
      <c r="G88" s="752"/>
      <c r="H88" s="751"/>
      <c r="I88" s="752"/>
      <c r="J88" s="751"/>
      <c r="K88" s="752"/>
      <c r="L88" s="751"/>
      <c r="M88" s="752"/>
      <c r="N88" s="751"/>
      <c r="O88" s="752"/>
      <c r="P88" s="751"/>
      <c r="Q88" s="752"/>
      <c r="R88" s="751"/>
      <c r="S88" s="752"/>
      <c r="T88" s="751"/>
      <c r="U88" s="752"/>
      <c r="V88" s="751"/>
      <c r="W88" s="752"/>
      <c r="X88" s="751"/>
      <c r="Y88" s="752"/>
      <c r="Z88" s="751"/>
      <c r="AA88" s="752"/>
      <c r="AB88" s="751"/>
      <c r="AC88" s="752"/>
      <c r="AD88" s="751"/>
      <c r="AE88" s="752"/>
      <c r="AF88" s="751"/>
      <c r="AG88" s="753"/>
      <c r="AH88" s="705"/>
      <c r="AI88" s="700"/>
      <c r="AJ88" s="784"/>
      <c r="AK88" s="900"/>
      <c r="AL88" s="5" t="str">
        <f t="shared" si="40"/>
        <v/>
      </c>
      <c r="CA88" s="142" t="str">
        <f t="shared" si="58"/>
        <v/>
      </c>
      <c r="CB88" s="142" t="str">
        <f t="shared" si="55"/>
        <v/>
      </c>
      <c r="CC88" s="142" t="str">
        <f t="shared" si="56"/>
        <v/>
      </c>
      <c r="CD88" s="142" t="str">
        <f t="shared" si="57"/>
        <v/>
      </c>
      <c r="DK88" s="34">
        <f t="shared" si="37"/>
        <v>0</v>
      </c>
      <c r="DL88" s="34">
        <f t="shared" si="37"/>
        <v>0</v>
      </c>
      <c r="DM88" s="34">
        <f t="shared" si="38"/>
        <v>0</v>
      </c>
      <c r="DN88" s="34">
        <f t="shared" si="38"/>
        <v>0</v>
      </c>
    </row>
    <row r="89" spans="1:146" ht="15" customHeight="1">
      <c r="A89" s="2449"/>
      <c r="B89" s="925" t="s">
        <v>524</v>
      </c>
      <c r="C89" s="1643">
        <f t="shared" si="60"/>
        <v>0</v>
      </c>
      <c r="D89" s="707">
        <f t="shared" si="61"/>
        <v>0</v>
      </c>
      <c r="E89" s="906">
        <f t="shared" si="61"/>
        <v>0</v>
      </c>
      <c r="F89" s="709"/>
      <c r="G89" s="710"/>
      <c r="H89" s="709"/>
      <c r="I89" s="710"/>
      <c r="J89" s="709"/>
      <c r="K89" s="710"/>
      <c r="L89" s="709"/>
      <c r="M89" s="710"/>
      <c r="N89" s="709"/>
      <c r="O89" s="710"/>
      <c r="P89" s="709"/>
      <c r="Q89" s="710"/>
      <c r="R89" s="709"/>
      <c r="S89" s="710"/>
      <c r="T89" s="709"/>
      <c r="U89" s="710"/>
      <c r="V89" s="709"/>
      <c r="W89" s="710"/>
      <c r="X89" s="709"/>
      <c r="Y89" s="710"/>
      <c r="Z89" s="709"/>
      <c r="AA89" s="710"/>
      <c r="AB89" s="709"/>
      <c r="AC89" s="710"/>
      <c r="AD89" s="709"/>
      <c r="AE89" s="710"/>
      <c r="AF89" s="751"/>
      <c r="AG89" s="753"/>
      <c r="AH89" s="717"/>
      <c r="AI89" s="710"/>
      <c r="AJ89" s="942"/>
      <c r="AK89" s="900"/>
      <c r="AL89" s="5" t="str">
        <f>CA89&amp;CB89&amp;CC89&amp;CD89&amp;CE89&amp;CF89&amp;CG89&amp;CH89&amp;CI89&amp;CJ89&amp;CK89&amp;CL89&amp;CM89&amp;CN89&amp;CO89&amp;CP89&amp;CQ89&amp;CR89&amp;CS89&amp;CT89&amp;CU89&amp;CV89&amp;CW89&amp;CX89&amp;CY89&amp;CZ89&amp;DA89&amp;DB89&amp;DC89&amp;DD89&amp;DE89&amp;DF89</f>
        <v/>
      </c>
      <c r="CA89" s="142" t="str">
        <f t="shared" si="58"/>
        <v/>
      </c>
      <c r="CB89" s="142" t="str">
        <f t="shared" si="55"/>
        <v/>
      </c>
      <c r="CC89" s="142" t="str">
        <f t="shared" si="56"/>
        <v/>
      </c>
      <c r="CD89" s="142" t="str">
        <f t="shared" si="57"/>
        <v/>
      </c>
      <c r="CE89" s="142" t="str">
        <f>IF(F$89+F$90+F$91+F$92+F$93+F$94&lt;=$F$23,"","* La suma de Personas Hombres con Enfermedad Renal Crónica (ERC) grupo de edad de 15 a 19 años no debe ser mayor al número de Personas con Enf. Renal Cronica de Sección A. ")</f>
        <v/>
      </c>
      <c r="CF89" s="142" t="str">
        <f>IF(G$89+G$90+G$91+G$92+G$93+G$94&lt;=G$23,"","* La suma de Personas Mujeres con Enfermedad Renal Crónica (ERC) grupo de edad de 15 a 19 años no debe ser mayor al número de Personas con Enf. Renal Cronica de Sección A. ")</f>
        <v/>
      </c>
      <c r="CG89" s="142" t="str">
        <f>IF(H$89+H$90+H$91+H$92+H$93+H$94&lt;=H$23,"","* La suma de Personas Hombres con Enfermedad Renal Crónica (ERC) grupo de edad de 20 a 24 años no debe ser mayor al número de Personas con Enf. Renal Cronica de Sección A. ")</f>
        <v/>
      </c>
      <c r="CH89" s="142" t="str">
        <f>IF(I$89+I$90+I$91+I$92+I$93+I$94&lt;=I$23,"","* La suma de Personas Mujeres con Enfermedad Renal Crónica (ERC) grupo de edad de 20 a 24 años no debe ser mayor al número de Personas con Enf. Renal Cronica de Sección A. ")</f>
        <v/>
      </c>
      <c r="CI89" s="142" t="str">
        <f>IF(J$89+J$90+J$91+J$92+J$93+J$94&lt;=J$23,"","* La suma de Personas Hombres con Enfermedad Renal Crónica (ERC) grupo de edad de 25 a 29 años no debe ser mayor al número de Personas con Enf. Renal Cronica de Sección A. ")</f>
        <v/>
      </c>
      <c r="CJ89" s="142" t="str">
        <f>IF(K$89+K$90+K$91+K$92+K$93+K$94&lt;=K$23,"","* La suma de Personas Mujeres con Enfermedad Renal Crónica (ERC) grupo de edad de 25 a 29 años no debe ser mayor al número de Personas con Enf. Renal Cronica de Sección A. ")</f>
        <v/>
      </c>
      <c r="CK89" s="142" t="str">
        <f>IF(L$89+L$90+L$91+L$92+L$93+L$94&lt;=L$23,"","* La suma de Personas Hombres con Enfermedad Renal Crónica (ERC) grupo de edad de 30 a 34 años no debe ser mayor al número de Personas con Enf. Renal Cronica de Sección A. ")</f>
        <v/>
      </c>
      <c r="CL89" s="142" t="str">
        <f>IF(M$89+M$90+M$91+M$92+M$93+M$94&lt;=M$23,"","* La suma de Personas Mujeres con Enfermedad Renal Crónica (ERC) grupo de edad de 30 a 34 años no debe ser mayor al número de Personas con Enf. Renal Cronica de Sección A. ")</f>
        <v/>
      </c>
      <c r="CM89" s="142" t="str">
        <f>IF(N$89+N$90+N$91+N$92+N$93+N$94&lt;=N$23,"","* La suma de Personas Hombres con Enfermedad Renal Crónica (ERC) grupo de edad de 35 a 39 años no debe ser mayor al número de Personas con Enf. Renal Cronica de Sección A. ")</f>
        <v/>
      </c>
      <c r="CN89" s="142" t="str">
        <f>IF(O$89+O$90+O$91+O$92+O$93+O$94&lt;=O$23,"","* La suma de Personas Mujeres con Enfermedad Renal Crónica (ERC) grupo de edad de 35 a 39 años no debe ser mayor al número de Personas con Enf. Renal Cronica de Sección A. ")</f>
        <v/>
      </c>
      <c r="CO89" s="142" t="str">
        <f>IF(P$89+P$90+P$91+P$92+P$93+P$94&lt;=P$23,"","* La suma de Personas Hombres con Enfermedad Renal Crónica (ERC) grupo de edad de 40 a 44 años no debe ser mayor al número de Personas con Enf. Renal Cronica de Sección A. ")</f>
        <v/>
      </c>
      <c r="CP89" s="142" t="str">
        <f>IF(Q$89+Q$90+Q$91+Q$92+Q$93+Q$94&lt;=Q$23,"","* La suma de Personas Mujeres con Enfermedad Renal Crónica (ERC) grupo de edad de 40 a 44 años no debe ser mayor al número de Personas con Enf. Renal Cronica de Sección A. ")</f>
        <v/>
      </c>
      <c r="CQ89" s="142" t="str">
        <f>IF(R$89+R$90+R$91+R$92+R$93+R$94&lt;=R$23,"","* La suma de Personas Hombres con Enfermedad Renal Crónica (ERC) grupo de edad de 45 a 49 años no debe ser mayor al número de Personas con Enf. Renal Cronica de Sección A. ")</f>
        <v/>
      </c>
      <c r="CR89" s="142" t="str">
        <f>IF(S$89+S$90+S$91+S$92+S$93+S$94&lt;=S$23,"","* La suma de Personas Mujeres con Enfermedad Renal Crónica (ERC) grupo de edad de 45 a 49 años no debe ser mayor al número de Personas con Enf. Renal Cronica de Sección A. ")</f>
        <v/>
      </c>
      <c r="CS89" s="142" t="str">
        <f>IF(T$89+T$90+T$91+T$92+T$93+T$94&lt;=T$23,"","* La suma de Personas Hombres con Enfermedad Renal Crónica (ERC) grupo de edad de 50 a 54 años no debe ser mayor al número de Personas con Enf. Renal Cronica de Sección A. ")</f>
        <v/>
      </c>
      <c r="CT89" s="142" t="str">
        <f>IF(U$89+U$90+U$91+U$92+U$93+U$94&lt;=U$23,"","* La suma de Personas Mujeres con Enfermedad Renal Crónica (ERC) grupo de edad de 50 a 54 años no debe ser mayor al número de Personas con Enf. Renal Cronica de Sección A. ")</f>
        <v/>
      </c>
      <c r="CU89" s="142" t="str">
        <f>IF(V$89+V$90+V$91+V$92+V$93+V$94&lt;=V$23,"","* La suma de Personas Hombres con Enfermedad Renal Crónica (ERC) grupo de edad de 55 a 59 años no debe ser mayor al número de Personas con Enf. Renal Cronica de Sección A. ")</f>
        <v/>
      </c>
      <c r="CV89" s="142" t="str">
        <f>IF(W$89+W$90+W$91+W$92+W$93+W$94&lt;=W$23,"","* La suma de Personas Mujeres con Enfermedad Renal Crónica (ERC) grupo de edad de 55 a 59 años no debe ser mayor al número de Personas con Enf. Renal Cronica de Sección A. ")</f>
        <v/>
      </c>
      <c r="CW89" s="142" t="str">
        <f>IF(X$89+X$90+X$91+X$92+X$93+X$94&lt;=X$23,"","* La suma de Personas Hombres con Enfermedad Renal Crónica (ERC) grupo de edad de 60 a 64 años no debe ser mayor al número de Personas con Enf. Renal Cronica de Sección A. ")</f>
        <v/>
      </c>
      <c r="CX89" s="142" t="str">
        <f>IF(Y$89+Y$90+Y$91+Y$92+Y$93+Y$94&lt;=Y$23,"","* La suma de Personas Mujeres con Enfermedad Renal Crónica (ERC) grupo de edad de 60 a 64 años no debe ser mayor al número de Personas con Enf. Renal Cronica de Sección A. ")</f>
        <v/>
      </c>
      <c r="CY89" s="142" t="str">
        <f>IF(Z$89+Z$90+Z$91+Z$92+Z$93+Z$94&lt;=Z$23,"","* La suma de Personas Hombres con Enfermedad Renal Crónica (ERC) grupo de edad de 65 a 69 años no debe ser mayor al número de Personas con Enf. Renal Cronica de Sección A. ")</f>
        <v/>
      </c>
      <c r="CZ89" s="142" t="str">
        <f>IF(AA$89+AA$90+AA$91+AA$92+AA$93+AA$94&lt;=AA$23,"","* La suma de Personas Mujeres con Enfermedad Renal Crónica (ERC) grupo de edad de 65 a 69 años no debe ser mayor al número de Personas con Enf. Renal Cronica de Sección A. ")</f>
        <v/>
      </c>
      <c r="DA89" s="142" t="str">
        <f>IF(AB$89+AB$90+AB$91+AB$92+AB$93+AB$94&lt;=AB$23,"","* La suma de Personas Hombres con Enfermedad Renal Crónica (ERC) grupo de edad de 70 a 74 años no debe ser mayor al número de Personas con Enf. Renal Cronica de Sección A. ")</f>
        <v/>
      </c>
      <c r="DB89" s="142" t="str">
        <f>IF(AC$89+AC$90+AC$91+AC$92+AC$93+AC$94&lt;=AC$23,"","* La suma de Personas Mujeres con Enfermedad Renal Crónica (ERC) grupo de edad de 70 a 74 años no debe ser mayor al número de Personas con Enf. Renal Cronica de Sección A. ")</f>
        <v/>
      </c>
      <c r="DC89" s="142" t="str">
        <f>IF(AD$89+AD$90+AD$91+AD$92+AD$93+AD$94&lt;=AD$23,"","* La suma de Personas Hombres con Enfermedad Renal Crónica (ERC) grupo de edad de 75 a 79 años no debe ser mayor al número de Personas con Enf. Renal Cronica de Sección A. ")</f>
        <v/>
      </c>
      <c r="DD89" s="142" t="str">
        <f>IF(AE$89+AE$90+AE$91+AE$92+AE$93+AE$94&lt;=AE$23,"","* La suma de Personas Mujeres con Enfermedad Renal Crónica (ERC) grupo de edad de 75 a 79 años no debe ser mayor al número de Personas con Enf. Renal Cronica de Sección A. ")</f>
        <v/>
      </c>
      <c r="DE89" s="142" t="str">
        <f>IF(AF$89+AF$90+AF$91+AF$92+AF$93+AF$94&lt;=AF$23,"","* La suma de Personas Hombres con Enfermedad Renal Crónica (ERC) grupo de edad de 80 y más años no debe ser mayor al número de Personas con Enf. Renal Cronica de Sección A. ")</f>
        <v/>
      </c>
      <c r="DF89" s="142" t="str">
        <f>IF(AG$89+AG$90+AG$91+AG$92+AG$93+AG$94&lt;=AG$23,"","* La suma de Personas Mujeres con Enfermedad Renal Crónica (ERC) grupo de edad de 80 y más años no debe ser mayor al número de Personas con Enf. Renal Cronica de Sección A. ")</f>
        <v/>
      </c>
      <c r="DK89" s="34">
        <f t="shared" si="37"/>
        <v>0</v>
      </c>
      <c r="DL89" s="34">
        <f t="shared" si="37"/>
        <v>0</v>
      </c>
      <c r="DM89" s="34">
        <f t="shared" si="38"/>
        <v>0</v>
      </c>
      <c r="DN89" s="34">
        <f t="shared" si="38"/>
        <v>0</v>
      </c>
      <c r="DO89" s="34">
        <f>IF(F$89+F$90+F$91+F$92+F$93+F$94&lt;=F$23,0,1)</f>
        <v>0</v>
      </c>
      <c r="DP89" s="34">
        <f t="shared" ref="DP89:EP89" si="62">IF(G$89+G$90+G$91+G$92+G$93+G$94&lt;=G$23,0,1)</f>
        <v>0</v>
      </c>
      <c r="DQ89" s="34">
        <f t="shared" si="62"/>
        <v>0</v>
      </c>
      <c r="DR89" s="34">
        <f t="shared" si="62"/>
        <v>0</v>
      </c>
      <c r="DS89" s="34">
        <f t="shared" si="62"/>
        <v>0</v>
      </c>
      <c r="DT89" s="34">
        <f t="shared" si="62"/>
        <v>0</v>
      </c>
      <c r="DU89" s="34">
        <f t="shared" si="62"/>
        <v>0</v>
      </c>
      <c r="DV89" s="34">
        <f t="shared" si="62"/>
        <v>0</v>
      </c>
      <c r="DW89" s="34">
        <f t="shared" si="62"/>
        <v>0</v>
      </c>
      <c r="DX89" s="34">
        <f t="shared" si="62"/>
        <v>0</v>
      </c>
      <c r="DY89" s="34">
        <f t="shared" si="62"/>
        <v>0</v>
      </c>
      <c r="DZ89" s="34">
        <f t="shared" si="62"/>
        <v>0</v>
      </c>
      <c r="EA89" s="34">
        <f t="shared" si="62"/>
        <v>0</v>
      </c>
      <c r="EB89" s="34">
        <f t="shared" si="62"/>
        <v>0</v>
      </c>
      <c r="EC89" s="34">
        <f t="shared" si="62"/>
        <v>0</v>
      </c>
      <c r="ED89" s="34">
        <f t="shared" si="62"/>
        <v>0</v>
      </c>
      <c r="EE89" s="34">
        <f t="shared" si="62"/>
        <v>0</v>
      </c>
      <c r="EF89" s="34">
        <f t="shared" si="62"/>
        <v>0</v>
      </c>
      <c r="EG89" s="34">
        <f t="shared" si="62"/>
        <v>0</v>
      </c>
      <c r="EH89" s="34">
        <f t="shared" si="62"/>
        <v>0</v>
      </c>
      <c r="EI89" s="34">
        <f t="shared" si="62"/>
        <v>0</v>
      </c>
      <c r="EJ89" s="34">
        <f t="shared" si="62"/>
        <v>0</v>
      </c>
      <c r="EK89" s="34">
        <f t="shared" si="62"/>
        <v>0</v>
      </c>
      <c r="EL89" s="34">
        <f t="shared" si="62"/>
        <v>0</v>
      </c>
      <c r="EM89" s="34">
        <f t="shared" si="62"/>
        <v>0</v>
      </c>
      <c r="EN89" s="34">
        <f t="shared" si="62"/>
        <v>0</v>
      </c>
      <c r="EO89" s="34">
        <f t="shared" si="62"/>
        <v>0</v>
      </c>
      <c r="EP89" s="34">
        <f t="shared" si="62"/>
        <v>0</v>
      </c>
    </row>
    <row r="90" spans="1:146" ht="15" customHeight="1">
      <c r="A90" s="2449"/>
      <c r="B90" s="925" t="s">
        <v>525</v>
      </c>
      <c r="C90" s="1643">
        <f t="shared" si="60"/>
        <v>0</v>
      </c>
      <c r="D90" s="707">
        <f t="shared" si="61"/>
        <v>0</v>
      </c>
      <c r="E90" s="906">
        <f t="shared" si="61"/>
        <v>0</v>
      </c>
      <c r="F90" s="709"/>
      <c r="G90" s="710"/>
      <c r="H90" s="709"/>
      <c r="I90" s="710"/>
      <c r="J90" s="709"/>
      <c r="K90" s="710"/>
      <c r="L90" s="709"/>
      <c r="M90" s="710"/>
      <c r="N90" s="709"/>
      <c r="O90" s="710"/>
      <c r="P90" s="709"/>
      <c r="Q90" s="710"/>
      <c r="R90" s="709"/>
      <c r="S90" s="710"/>
      <c r="T90" s="709"/>
      <c r="U90" s="710"/>
      <c r="V90" s="709"/>
      <c r="W90" s="710"/>
      <c r="X90" s="709"/>
      <c r="Y90" s="710"/>
      <c r="Z90" s="709"/>
      <c r="AA90" s="710"/>
      <c r="AB90" s="709"/>
      <c r="AC90" s="710"/>
      <c r="AD90" s="709"/>
      <c r="AE90" s="710"/>
      <c r="AF90" s="751"/>
      <c r="AG90" s="753"/>
      <c r="AH90" s="717"/>
      <c r="AI90" s="710"/>
      <c r="AJ90" s="942"/>
      <c r="AK90" s="900"/>
      <c r="AL90" s="5" t="str">
        <f t="shared" si="40"/>
        <v/>
      </c>
      <c r="CA90" s="142" t="str">
        <f t="shared" si="58"/>
        <v/>
      </c>
      <c r="CB90" s="142" t="str">
        <f t="shared" si="55"/>
        <v/>
      </c>
      <c r="CC90" s="142" t="str">
        <f t="shared" si="56"/>
        <v/>
      </c>
      <c r="CD90" s="142" t="str">
        <f t="shared" si="57"/>
        <v/>
      </c>
      <c r="DK90" s="34">
        <f t="shared" si="37"/>
        <v>0</v>
      </c>
      <c r="DL90" s="34">
        <f t="shared" si="37"/>
        <v>0</v>
      </c>
      <c r="DM90" s="34">
        <f t="shared" si="38"/>
        <v>0</v>
      </c>
      <c r="DN90" s="34">
        <f t="shared" si="38"/>
        <v>0</v>
      </c>
    </row>
    <row r="91" spans="1:146" ht="15" customHeight="1">
      <c r="A91" s="2449"/>
      <c r="B91" s="925" t="s">
        <v>526</v>
      </c>
      <c r="C91" s="1652">
        <f t="shared" si="60"/>
        <v>0</v>
      </c>
      <c r="D91" s="707">
        <f t="shared" si="61"/>
        <v>0</v>
      </c>
      <c r="E91" s="906">
        <f t="shared" si="61"/>
        <v>0</v>
      </c>
      <c r="F91" s="709"/>
      <c r="G91" s="710"/>
      <c r="H91" s="709"/>
      <c r="I91" s="710"/>
      <c r="J91" s="709"/>
      <c r="K91" s="710"/>
      <c r="L91" s="709"/>
      <c r="M91" s="710"/>
      <c r="N91" s="709"/>
      <c r="O91" s="710"/>
      <c r="P91" s="709"/>
      <c r="Q91" s="710"/>
      <c r="R91" s="709"/>
      <c r="S91" s="710"/>
      <c r="T91" s="709"/>
      <c r="U91" s="710"/>
      <c r="V91" s="709"/>
      <c r="W91" s="710"/>
      <c r="X91" s="709"/>
      <c r="Y91" s="710"/>
      <c r="Z91" s="709"/>
      <c r="AA91" s="710"/>
      <c r="AB91" s="709"/>
      <c r="AC91" s="710"/>
      <c r="AD91" s="709"/>
      <c r="AE91" s="710"/>
      <c r="AF91" s="751"/>
      <c r="AG91" s="753"/>
      <c r="AH91" s="717"/>
      <c r="AI91" s="710"/>
      <c r="AJ91" s="928"/>
      <c r="AK91" s="900"/>
      <c r="AL91" s="5" t="str">
        <f t="shared" si="40"/>
        <v/>
      </c>
      <c r="CA91" s="142" t="str">
        <f>IF(AND(D91&gt;0,OR(AH91=""))," * No olvide digitar la variable Pueblos Originarios Hombres. Digite Cero si no tiene.",IF(AH91&gt;D91," * La variable Pueblos Originarios Hombres no puede ser Mayor al Total Hombres.",""))</f>
        <v/>
      </c>
      <c r="CB91" s="142" t="str">
        <f t="shared" si="55"/>
        <v/>
      </c>
      <c r="CC91" s="142" t="str">
        <f t="shared" si="56"/>
        <v/>
      </c>
      <c r="CD91" s="142" t="str">
        <f t="shared" si="57"/>
        <v/>
      </c>
      <c r="DK91" s="34">
        <f t="shared" si="37"/>
        <v>0</v>
      </c>
      <c r="DL91" s="34">
        <f t="shared" si="37"/>
        <v>0</v>
      </c>
      <c r="DM91" s="34">
        <f t="shared" si="38"/>
        <v>0</v>
      </c>
      <c r="DN91" s="34">
        <f t="shared" si="38"/>
        <v>0</v>
      </c>
    </row>
    <row r="92" spans="1:146" ht="15" customHeight="1">
      <c r="A92" s="2449"/>
      <c r="B92" s="925" t="s">
        <v>527</v>
      </c>
      <c r="C92" s="1652">
        <f t="shared" si="60"/>
        <v>0</v>
      </c>
      <c r="D92" s="707">
        <f t="shared" si="61"/>
        <v>0</v>
      </c>
      <c r="E92" s="906">
        <f t="shared" si="61"/>
        <v>0</v>
      </c>
      <c r="F92" s="709"/>
      <c r="G92" s="710"/>
      <c r="H92" s="709"/>
      <c r="I92" s="710"/>
      <c r="J92" s="709"/>
      <c r="K92" s="710"/>
      <c r="L92" s="709"/>
      <c r="M92" s="710"/>
      <c r="N92" s="709"/>
      <c r="O92" s="710"/>
      <c r="P92" s="709"/>
      <c r="Q92" s="710"/>
      <c r="R92" s="709"/>
      <c r="S92" s="710"/>
      <c r="T92" s="709"/>
      <c r="U92" s="710"/>
      <c r="V92" s="709"/>
      <c r="W92" s="710"/>
      <c r="X92" s="709"/>
      <c r="Y92" s="710"/>
      <c r="Z92" s="709"/>
      <c r="AA92" s="710"/>
      <c r="AB92" s="709"/>
      <c r="AC92" s="710"/>
      <c r="AD92" s="709"/>
      <c r="AE92" s="710"/>
      <c r="AF92" s="751"/>
      <c r="AG92" s="753"/>
      <c r="AH92" s="717"/>
      <c r="AI92" s="710"/>
      <c r="AJ92" s="942"/>
      <c r="AK92" s="900"/>
      <c r="AL92" s="5" t="str">
        <f t="shared" si="40"/>
        <v/>
      </c>
      <c r="CA92" s="142" t="str">
        <f t="shared" si="58"/>
        <v/>
      </c>
      <c r="CB92" s="142" t="str">
        <f t="shared" si="55"/>
        <v/>
      </c>
      <c r="CC92" s="142" t="str">
        <f t="shared" si="56"/>
        <v/>
      </c>
      <c r="CD92" s="142" t="str">
        <f t="shared" si="57"/>
        <v/>
      </c>
      <c r="DK92" s="34">
        <f t="shared" si="37"/>
        <v>0</v>
      </c>
      <c r="DL92" s="34">
        <f t="shared" si="37"/>
        <v>0</v>
      </c>
      <c r="DM92" s="34">
        <f t="shared" si="38"/>
        <v>0</v>
      </c>
      <c r="DN92" s="34">
        <f t="shared" si="38"/>
        <v>0</v>
      </c>
    </row>
    <row r="93" spans="1:146" ht="15" customHeight="1">
      <c r="A93" s="2449"/>
      <c r="B93" s="925" t="s">
        <v>528</v>
      </c>
      <c r="C93" s="1652">
        <f t="shared" si="60"/>
        <v>0</v>
      </c>
      <c r="D93" s="707">
        <f t="shared" si="61"/>
        <v>0</v>
      </c>
      <c r="E93" s="906">
        <f t="shared" si="61"/>
        <v>0</v>
      </c>
      <c r="F93" s="709"/>
      <c r="G93" s="710"/>
      <c r="H93" s="709"/>
      <c r="I93" s="710"/>
      <c r="J93" s="709"/>
      <c r="K93" s="710"/>
      <c r="L93" s="709"/>
      <c r="M93" s="710"/>
      <c r="N93" s="709"/>
      <c r="O93" s="710"/>
      <c r="P93" s="709"/>
      <c r="Q93" s="710"/>
      <c r="R93" s="709"/>
      <c r="S93" s="710"/>
      <c r="T93" s="709"/>
      <c r="U93" s="710"/>
      <c r="V93" s="709"/>
      <c r="W93" s="710"/>
      <c r="X93" s="709"/>
      <c r="Y93" s="710"/>
      <c r="Z93" s="709"/>
      <c r="AA93" s="710"/>
      <c r="AB93" s="709"/>
      <c r="AC93" s="710"/>
      <c r="AD93" s="709"/>
      <c r="AE93" s="710"/>
      <c r="AF93" s="751"/>
      <c r="AG93" s="753"/>
      <c r="AH93" s="717"/>
      <c r="AI93" s="710"/>
      <c r="AJ93" s="928"/>
      <c r="AK93" s="900"/>
      <c r="AL93" s="5" t="str">
        <f t="shared" si="40"/>
        <v/>
      </c>
      <c r="CA93" s="142" t="str">
        <f t="shared" si="58"/>
        <v/>
      </c>
      <c r="CB93" s="142" t="str">
        <f t="shared" si="55"/>
        <v/>
      </c>
      <c r="CC93" s="142" t="str">
        <f t="shared" si="56"/>
        <v/>
      </c>
      <c r="CD93" s="142" t="str">
        <f t="shared" si="57"/>
        <v/>
      </c>
      <c r="DK93" s="34">
        <f t="shared" si="37"/>
        <v>0</v>
      </c>
      <c r="DL93" s="34">
        <f t="shared" si="37"/>
        <v>0</v>
      </c>
      <c r="DM93" s="34">
        <f t="shared" si="38"/>
        <v>0</v>
      </c>
      <c r="DN93" s="34">
        <f t="shared" si="38"/>
        <v>0</v>
      </c>
    </row>
    <row r="94" spans="1:146" ht="15" customHeight="1">
      <c r="A94" s="2449"/>
      <c r="B94" s="2451" t="s">
        <v>529</v>
      </c>
      <c r="C94" s="1653">
        <f t="shared" si="60"/>
        <v>0</v>
      </c>
      <c r="D94" s="707">
        <f>+F94+H94+J94+L94+N94+P94+R94+T94+V94+X94+Z94+AB94+AD94+AF94</f>
        <v>0</v>
      </c>
      <c r="E94" s="906">
        <f>+G94+I94+K94+M94+O94+Q94+S94+U94+W94+Y94+AA94+AC94+AE94+AG94</f>
        <v>0</v>
      </c>
      <c r="F94" s="735"/>
      <c r="G94" s="729"/>
      <c r="H94" s="735"/>
      <c r="I94" s="729"/>
      <c r="J94" s="735"/>
      <c r="K94" s="729"/>
      <c r="L94" s="735"/>
      <c r="M94" s="729"/>
      <c r="N94" s="735"/>
      <c r="O94" s="729"/>
      <c r="P94" s="735"/>
      <c r="Q94" s="729"/>
      <c r="R94" s="735"/>
      <c r="S94" s="729"/>
      <c r="T94" s="735"/>
      <c r="U94" s="729"/>
      <c r="V94" s="735"/>
      <c r="W94" s="729"/>
      <c r="X94" s="735"/>
      <c r="Y94" s="729"/>
      <c r="Z94" s="735"/>
      <c r="AA94" s="729"/>
      <c r="AB94" s="735"/>
      <c r="AC94" s="729"/>
      <c r="AD94" s="735"/>
      <c r="AE94" s="729"/>
      <c r="AF94" s="735"/>
      <c r="AG94" s="736"/>
      <c r="AH94" s="728"/>
      <c r="AI94" s="729"/>
      <c r="AJ94" s="942"/>
      <c r="AK94" s="900"/>
      <c r="AL94" s="5" t="str">
        <f t="shared" si="40"/>
        <v/>
      </c>
      <c r="CA94" s="142" t="str">
        <f t="shared" si="58"/>
        <v/>
      </c>
      <c r="CB94" s="142" t="str">
        <f t="shared" si="55"/>
        <v/>
      </c>
      <c r="CC94" s="142" t="str">
        <f t="shared" si="56"/>
        <v/>
      </c>
      <c r="CD94" s="142" t="str">
        <f t="shared" si="57"/>
        <v/>
      </c>
      <c r="DK94" s="34">
        <f t="shared" si="37"/>
        <v>0</v>
      </c>
      <c r="DL94" s="34">
        <f t="shared" si="37"/>
        <v>0</v>
      </c>
      <c r="DM94" s="34">
        <f t="shared" si="38"/>
        <v>0</v>
      </c>
      <c r="DN94" s="34">
        <f t="shared" si="38"/>
        <v>0</v>
      </c>
    </row>
    <row r="95" spans="1:146" ht="15" customHeight="1">
      <c r="A95" s="2449"/>
      <c r="B95" s="2452" t="s">
        <v>530</v>
      </c>
      <c r="C95" s="1653">
        <f t="shared" si="60"/>
        <v>0</v>
      </c>
      <c r="D95" s="733">
        <f t="shared" si="61"/>
        <v>0</v>
      </c>
      <c r="E95" s="930">
        <f t="shared" si="61"/>
        <v>0</v>
      </c>
      <c r="F95" s="722"/>
      <c r="G95" s="723"/>
      <c r="H95" s="722"/>
      <c r="I95" s="723"/>
      <c r="J95" s="722"/>
      <c r="K95" s="723"/>
      <c r="L95" s="722"/>
      <c r="M95" s="723"/>
      <c r="N95" s="722"/>
      <c r="O95" s="723"/>
      <c r="P95" s="722"/>
      <c r="Q95" s="723"/>
      <c r="R95" s="722"/>
      <c r="S95" s="723"/>
      <c r="T95" s="722"/>
      <c r="U95" s="723"/>
      <c r="V95" s="722"/>
      <c r="W95" s="723"/>
      <c r="X95" s="722"/>
      <c r="Y95" s="723"/>
      <c r="Z95" s="722"/>
      <c r="AA95" s="723"/>
      <c r="AB95" s="722"/>
      <c r="AC95" s="723"/>
      <c r="AD95" s="722"/>
      <c r="AE95" s="723"/>
      <c r="AF95" s="722"/>
      <c r="AG95" s="762"/>
      <c r="AH95" s="738"/>
      <c r="AI95" s="723"/>
      <c r="AJ95" s="942"/>
      <c r="AK95" s="900"/>
      <c r="AL95" s="5" t="str">
        <f t="shared" si="40"/>
        <v/>
      </c>
      <c r="CA95" s="142" t="str">
        <f t="shared" si="58"/>
        <v/>
      </c>
      <c r="CB95" s="142" t="str">
        <f t="shared" si="55"/>
        <v/>
      </c>
      <c r="CC95" s="142" t="str">
        <f t="shared" si="56"/>
        <v/>
      </c>
      <c r="CD95" s="142" t="str">
        <f t="shared" si="57"/>
        <v/>
      </c>
      <c r="DK95" s="34">
        <f t="shared" si="37"/>
        <v>0</v>
      </c>
      <c r="DL95" s="34">
        <f t="shared" si="37"/>
        <v>0</v>
      </c>
      <c r="DM95" s="34">
        <f t="shared" si="38"/>
        <v>0</v>
      </c>
      <c r="DN95" s="34">
        <f t="shared" si="38"/>
        <v>0</v>
      </c>
    </row>
    <row r="96" spans="1:146" ht="15" customHeight="1">
      <c r="A96" s="2449"/>
      <c r="B96" s="2452" t="s">
        <v>5</v>
      </c>
      <c r="C96" s="840">
        <f>SUM(D96:E96)</f>
        <v>0</v>
      </c>
      <c r="D96" s="733">
        <f>+F96+H96+J96+L96+N96+P96+R96+T96+V96+X96+Z96+AB96+AD96+AF96</f>
        <v>0</v>
      </c>
      <c r="E96" s="930">
        <f>+G96+I96+K96+M96+O96+Q96+S96+U96+W96+Y96+AA96+AC96+AE96+AG96</f>
        <v>0</v>
      </c>
      <c r="F96" s="895">
        <f>SUM(F88:F95)</f>
        <v>0</v>
      </c>
      <c r="G96" s="950">
        <f t="shared" ref="G96:AK96" si="63">SUM(G88:G95)</f>
        <v>0</v>
      </c>
      <c r="H96" s="895">
        <f t="shared" si="63"/>
        <v>0</v>
      </c>
      <c r="I96" s="950">
        <f t="shared" si="63"/>
        <v>0</v>
      </c>
      <c r="J96" s="895">
        <f t="shared" si="63"/>
        <v>0</v>
      </c>
      <c r="K96" s="950">
        <f t="shared" si="63"/>
        <v>0</v>
      </c>
      <c r="L96" s="895">
        <f t="shared" si="63"/>
        <v>0</v>
      </c>
      <c r="M96" s="950">
        <f t="shared" si="63"/>
        <v>0</v>
      </c>
      <c r="N96" s="895">
        <f t="shared" si="63"/>
        <v>0</v>
      </c>
      <c r="O96" s="950">
        <f t="shared" si="63"/>
        <v>0</v>
      </c>
      <c r="P96" s="895">
        <f t="shared" si="63"/>
        <v>0</v>
      </c>
      <c r="Q96" s="950">
        <f t="shared" si="63"/>
        <v>0</v>
      </c>
      <c r="R96" s="895">
        <f t="shared" si="63"/>
        <v>0</v>
      </c>
      <c r="S96" s="950">
        <f t="shared" si="63"/>
        <v>0</v>
      </c>
      <c r="T96" s="895">
        <f t="shared" si="63"/>
        <v>0</v>
      </c>
      <c r="U96" s="950">
        <f t="shared" si="63"/>
        <v>0</v>
      </c>
      <c r="V96" s="895">
        <f t="shared" si="63"/>
        <v>0</v>
      </c>
      <c r="W96" s="950">
        <f t="shared" si="63"/>
        <v>0</v>
      </c>
      <c r="X96" s="895">
        <f t="shared" si="63"/>
        <v>0</v>
      </c>
      <c r="Y96" s="950">
        <f t="shared" si="63"/>
        <v>0</v>
      </c>
      <c r="Z96" s="895">
        <f t="shared" si="63"/>
        <v>0</v>
      </c>
      <c r="AA96" s="950">
        <f t="shared" si="63"/>
        <v>0</v>
      </c>
      <c r="AB96" s="895">
        <f t="shared" si="63"/>
        <v>0</v>
      </c>
      <c r="AC96" s="950">
        <f t="shared" si="63"/>
        <v>0</v>
      </c>
      <c r="AD96" s="895">
        <f t="shared" si="63"/>
        <v>0</v>
      </c>
      <c r="AE96" s="950">
        <f t="shared" si="63"/>
        <v>0</v>
      </c>
      <c r="AF96" s="895">
        <f t="shared" si="63"/>
        <v>0</v>
      </c>
      <c r="AG96" s="951">
        <f t="shared" si="63"/>
        <v>0</v>
      </c>
      <c r="AH96" s="896">
        <f t="shared" si="63"/>
        <v>0</v>
      </c>
      <c r="AI96" s="950">
        <f t="shared" si="63"/>
        <v>0</v>
      </c>
      <c r="AJ96" s="1638">
        <f t="shared" si="63"/>
        <v>0</v>
      </c>
      <c r="AK96" s="1639">
        <f t="shared" si="63"/>
        <v>0</v>
      </c>
    </row>
    <row r="97" spans="1:26" ht="14.25" customHeight="1">
      <c r="A97" s="5" t="s">
        <v>531</v>
      </c>
    </row>
    <row r="98" spans="1:26">
      <c r="Z98" s="7"/>
    </row>
    <row r="110" spans="1:26" hidden="1">
      <c r="A110" s="1654">
        <f>SUM(C12:C23,C28:C42,C48:C73,C75:C80,C82:C95)</f>
        <v>0</v>
      </c>
      <c r="B110" s="383" t="s">
        <v>142</v>
      </c>
    </row>
    <row r="111" spans="1:26" hidden="1">
      <c r="A111" s="1654">
        <f>SUM(DK13:ER95)</f>
        <v>0</v>
      </c>
      <c r="B111" s="383" t="s">
        <v>143</v>
      </c>
    </row>
  </sheetData>
  <mergeCells count="116">
    <mergeCell ref="AJ9:AK10"/>
    <mergeCell ref="CA9:CB10"/>
    <mergeCell ref="CC9:CD10"/>
    <mergeCell ref="CG9:CG11"/>
    <mergeCell ref="CH9:CH10"/>
    <mergeCell ref="CI9:CI10"/>
    <mergeCell ref="A7:U7"/>
    <mergeCell ref="A8:AG8"/>
    <mergeCell ref="A9:B11"/>
    <mergeCell ref="C9:E10"/>
    <mergeCell ref="F9:AG9"/>
    <mergeCell ref="AH9:AI10"/>
    <mergeCell ref="F10:G10"/>
    <mergeCell ref="H10:I10"/>
    <mergeCell ref="J10:K10"/>
    <mergeCell ref="L10:M10"/>
    <mergeCell ref="Z10:AA10"/>
    <mergeCell ref="AB10:AC10"/>
    <mergeCell ref="AD10:AE10"/>
    <mergeCell ref="AF10:AG10"/>
    <mergeCell ref="A12:B12"/>
    <mergeCell ref="A13:A15"/>
    <mergeCell ref="N10:O10"/>
    <mergeCell ref="P10:Q10"/>
    <mergeCell ref="R10:S10"/>
    <mergeCell ref="T10:U10"/>
    <mergeCell ref="V10:W10"/>
    <mergeCell ref="X10:Y10"/>
    <mergeCell ref="A16:A23"/>
    <mergeCell ref="A24:B24"/>
    <mergeCell ref="A25:B27"/>
    <mergeCell ref="C25:E26"/>
    <mergeCell ref="F25:AG25"/>
    <mergeCell ref="AH25:AI26"/>
    <mergeCell ref="X26:Y26"/>
    <mergeCell ref="Z26:AA26"/>
    <mergeCell ref="AB26:AC26"/>
    <mergeCell ref="AD26:AE26"/>
    <mergeCell ref="AF26:AG26"/>
    <mergeCell ref="A28:A29"/>
    <mergeCell ref="A30:A32"/>
    <mergeCell ref="A34:A36"/>
    <mergeCell ref="A37:A39"/>
    <mergeCell ref="A40:A42"/>
    <mergeCell ref="AJ25:AK26"/>
    <mergeCell ref="F26:G26"/>
    <mergeCell ref="H26:I26"/>
    <mergeCell ref="J26:K26"/>
    <mergeCell ref="L26:M26"/>
    <mergeCell ref="N26:O26"/>
    <mergeCell ref="P26:Q26"/>
    <mergeCell ref="R26:S26"/>
    <mergeCell ref="T26:U26"/>
    <mergeCell ref="V26:W26"/>
    <mergeCell ref="DM44:DN45"/>
    <mergeCell ref="F45:G45"/>
    <mergeCell ref="H45:I45"/>
    <mergeCell ref="J45:K45"/>
    <mergeCell ref="L45:M45"/>
    <mergeCell ref="N45:O45"/>
    <mergeCell ref="A44:B46"/>
    <mergeCell ref="C44:E45"/>
    <mergeCell ref="F44:AG44"/>
    <mergeCell ref="AH44:AI45"/>
    <mergeCell ref="AJ44:AK45"/>
    <mergeCell ref="CA44:CB45"/>
    <mergeCell ref="P45:Q45"/>
    <mergeCell ref="R45:S45"/>
    <mergeCell ref="T45:U45"/>
    <mergeCell ref="V45:W45"/>
    <mergeCell ref="X45:Y45"/>
    <mergeCell ref="Z45:AA45"/>
    <mergeCell ref="AB45:AC45"/>
    <mergeCell ref="AD45:AE45"/>
    <mergeCell ref="AF45:AG45"/>
    <mergeCell ref="CC44:CD45"/>
    <mergeCell ref="CI44:CI45"/>
    <mergeCell ref="CJ44:CJ45"/>
    <mergeCell ref="DK44:DL45"/>
    <mergeCell ref="A54:B54"/>
    <mergeCell ref="A55:B55"/>
    <mergeCell ref="A56:B56"/>
    <mergeCell ref="A57:B57"/>
    <mergeCell ref="A58:B58"/>
    <mergeCell ref="A59:B59"/>
    <mergeCell ref="A48:B48"/>
    <mergeCell ref="A49:B49"/>
    <mergeCell ref="A50:B50"/>
    <mergeCell ref="A51:B51"/>
    <mergeCell ref="A52:B52"/>
    <mergeCell ref="A53:B53"/>
    <mergeCell ref="C81:AK81"/>
    <mergeCell ref="A71:B71"/>
    <mergeCell ref="A72:B72"/>
    <mergeCell ref="A73:B73"/>
    <mergeCell ref="C74:AK74"/>
    <mergeCell ref="A75:B75"/>
    <mergeCell ref="A76:B76"/>
    <mergeCell ref="A60:B60"/>
    <mergeCell ref="A61:A64"/>
    <mergeCell ref="A65:A67"/>
    <mergeCell ref="A68:B68"/>
    <mergeCell ref="A69:B69"/>
    <mergeCell ref="A70:B70"/>
    <mergeCell ref="A88:A96"/>
    <mergeCell ref="A82:B82"/>
    <mergeCell ref="A83:B83"/>
    <mergeCell ref="A84:B84"/>
    <mergeCell ref="A85:B85"/>
    <mergeCell ref="A86:B86"/>
    <mergeCell ref="A87:B87"/>
    <mergeCell ref="A77:B77"/>
    <mergeCell ref="A78:B78"/>
    <mergeCell ref="A79:B79"/>
    <mergeCell ref="A80:B80"/>
    <mergeCell ref="A81:B81"/>
  </mergeCells>
  <dataValidations count="4">
    <dataValidation allowBlank="1" showInputMessage="1" showErrorMessage="1" errorTitle=" Error de ingreso" error="Debe ingresar sólo números enteros positivos." sqref="AL1:AL23 B43 A37 B61:B66 B47 AH27:AK27 D75:E80 AH46:AK46 A33:A34 AH11:AK12 DM9:DP12 AL88:BZ1048576 A43:A44 B9:B35 DI28:XFD42 A97:AK1048576 A88:B96 F96:AK96 AL87:BA87 D48:E73 A65:A78 C79 BA44:BA86 CA81:CD81 DO48:XFD1048576 AM1:XFD7 CA8:XFD8 B81 CH9 AL24:BA43 A81:A86 AM8:BA8 CA24:XFD27 CC9:CD12 CA9 CA11:CB12 CA43:XFD43 CC44:CD46 CA44 CA46:CB46 DK96:DN1048576 CA47:XFD47 CE48:DH87 CA74:CD74 CA96:CD1048576 CE28:DF42 CE88:DJ1048576 DK48:DL95 DQ44:XFD46 CG44:DJ46 DK44 DK46:DN46 DM44 AL44:AV86 C42:C46 B1:AG7 F9:AG12 A16 A24:A30 A6:A13 CK9:DL23 CG9:CG21 CI9:CI21 CG22:CI23 CH11:CH21 AL9:AZ23 DQ9:XFD23 A40 B40:B41 B37:B38 D9:E46 C9:C11 A47:A61 C96 C50 C66 C70 B74:C74 C77 D82:E96 AH1:AK8 F24:AG27 AH24:AK24 F43:AG46 AH43:AK43 C89:C90 C87 C23:C27" xr:uid="{8DE392A8-BCC0-4E96-A169-5791067C51DE}"/>
    <dataValidation type="whole" operator="greaterThanOrEqual" allowBlank="1" showInputMessage="1" showErrorMessage="1" errorTitle=" Error de ingreso" error="Debe ingresar sólo números enteros positivos." sqref="F28:AK42 F75:AK80 F48:AK73 F82:AK96 F13:AK23" xr:uid="{77D6E525-A4B9-4776-B991-EB73C70BB6E5}">
      <formula1>0</formula1>
    </dataValidation>
    <dataValidation allowBlank="1" showInputMessage="1" showErrorMessage="1" errorTitle="Error de ingreso" error="Debe ingresar sólo números enteros positivos." sqref="A2:A5" xr:uid="{F818ECDD-DD9A-4AFE-AF93-A8833915828D}"/>
    <dataValidation type="whole" allowBlank="1" showInputMessage="1" showErrorMessage="1" errorTitle="Error" error="Por favor ingrese números enteros" sqref="C12:C21 C47:C49 C51:C65 C67:C69 C71:C73 C75:C76 C78 C80 C82:C88 C91:C95 C30:C41" xr:uid="{89505AC4-7384-4FBD-BF9B-59928732A888}">
      <formula1>0</formula1>
      <formula2>10000000000</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A59B-EBF9-4652-8ADA-413678A1590E}">
  <sheetPr>
    <tabColor rgb="FFFFFF00"/>
  </sheetPr>
  <dimension ref="A1:CV82"/>
  <sheetViews>
    <sheetView zoomScaleNormal="100" workbookViewId="0"/>
  </sheetViews>
  <sheetFormatPr baseColWidth="10" defaultColWidth="11.453125" defaultRowHeight="14.5"/>
  <cols>
    <col min="1" max="1" width="21.54296875" style="5" customWidth="1"/>
    <col min="2" max="2" width="18.08984375" style="5" customWidth="1"/>
    <col min="3" max="3" width="12.90625" style="5" customWidth="1"/>
    <col min="4" max="4" width="11.453125" style="5"/>
    <col min="5" max="5" width="12.453125" style="5" bestFit="1" customWidth="1"/>
    <col min="6" max="21" width="10.08984375" style="5" customWidth="1"/>
    <col min="22" max="24" width="9.6328125" style="5" customWidth="1"/>
    <col min="25" max="25" width="9.08984375" style="5" customWidth="1"/>
    <col min="26" max="26" width="11.453125" style="5"/>
    <col min="27" max="27" width="11.6328125" style="5" customWidth="1"/>
    <col min="28" max="28" width="11.453125" style="969"/>
    <col min="52" max="78" width="11.453125" style="5"/>
    <col min="79" max="80" width="12.36328125" style="5" hidden="1" customWidth="1"/>
    <col min="81" max="89" width="9.6328125" style="5" hidden="1" customWidth="1"/>
    <col min="90" max="90" width="12.54296875" style="5" hidden="1" customWidth="1"/>
    <col min="91" max="91" width="9.36328125" style="5" hidden="1" customWidth="1"/>
    <col min="92" max="98" width="9.6328125" style="5" hidden="1" customWidth="1"/>
    <col min="99" max="101" width="9.6328125" style="5" customWidth="1"/>
    <col min="102" max="102" width="11.54296875" style="5" customWidth="1"/>
    <col min="103" max="16384" width="11.453125" style="5"/>
  </cols>
  <sheetData>
    <row r="1" spans="1:98" s="3" customFormat="1" ht="13.5" customHeight="1">
      <c r="A1" s="1" t="s">
        <v>0</v>
      </c>
    </row>
    <row r="2" spans="1:98" s="3" customFormat="1" ht="13.5" customHeight="1">
      <c r="A2" s="1" t="s">
        <v>449</v>
      </c>
    </row>
    <row r="3" spans="1:98" s="3" customFormat="1" ht="13.5" customHeight="1">
      <c r="A3" s="1" t="s">
        <v>450</v>
      </c>
      <c r="D3" s="672"/>
    </row>
    <row r="4" spans="1:98" s="3" customFormat="1" ht="13.5" customHeight="1">
      <c r="A4" s="1" t="s">
        <v>451</v>
      </c>
    </row>
    <row r="5" spans="1:98" s="3" customFormat="1" ht="13.5" customHeight="1">
      <c r="A5" s="1" t="s">
        <v>452</v>
      </c>
    </row>
    <row r="6" spans="1:98" s="3" customFormat="1" ht="15" customHeight="1">
      <c r="A6" s="673"/>
    </row>
    <row r="7" spans="1:98" ht="33" customHeight="1">
      <c r="A7" s="2166" t="s">
        <v>533</v>
      </c>
      <c r="B7" s="2166"/>
      <c r="C7" s="2166"/>
      <c r="D7" s="2166"/>
      <c r="E7" s="2166"/>
      <c r="F7" s="2166"/>
      <c r="G7" s="2166"/>
      <c r="H7" s="2166"/>
      <c r="I7" s="2166"/>
      <c r="J7" s="2166"/>
      <c r="K7" s="2166"/>
      <c r="L7" s="2166"/>
      <c r="M7" s="2166"/>
      <c r="N7" s="2166"/>
      <c r="O7" s="2166"/>
      <c r="P7" s="2166"/>
      <c r="Q7" s="2166"/>
      <c r="R7" s="2166"/>
      <c r="S7" s="2166"/>
      <c r="T7" s="2166"/>
      <c r="U7" s="2166"/>
    </row>
    <row r="8" spans="1:98" s="31" customFormat="1" ht="17.149999999999999" customHeight="1">
      <c r="A8" s="970" t="s">
        <v>534</v>
      </c>
      <c r="B8" s="970"/>
      <c r="C8" s="970"/>
      <c r="D8" s="970"/>
      <c r="E8" s="971"/>
      <c r="F8" s="971"/>
      <c r="G8" s="971"/>
      <c r="H8" s="972"/>
      <c r="M8" s="973"/>
      <c r="AB8" s="969"/>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CB8" s="2157" t="s">
        <v>7</v>
      </c>
      <c r="CC8" s="2158"/>
      <c r="CD8" s="2157" t="s">
        <v>261</v>
      </c>
      <c r="CE8" s="2158"/>
      <c r="CF8" s="2157" t="s">
        <v>535</v>
      </c>
      <c r="CG8" s="2158"/>
      <c r="CJ8" s="975"/>
      <c r="CK8" s="975"/>
      <c r="CL8" s="975"/>
      <c r="CM8" s="975"/>
      <c r="CO8" s="2157" t="s">
        <v>7</v>
      </c>
      <c r="CP8" s="2158"/>
      <c r="CQ8" s="2157" t="s">
        <v>261</v>
      </c>
      <c r="CR8" s="2158"/>
      <c r="CS8" s="2157" t="s">
        <v>535</v>
      </c>
      <c r="CT8" s="2158"/>
    </row>
    <row r="9" spans="1:98" ht="21" customHeight="1">
      <c r="A9" s="2159" t="s">
        <v>536</v>
      </c>
      <c r="B9" s="2160"/>
      <c r="C9" s="2161" t="s">
        <v>5</v>
      </c>
      <c r="D9" s="2161"/>
      <c r="E9" s="2161"/>
      <c r="F9" s="2162" t="s">
        <v>354</v>
      </c>
      <c r="G9" s="2163"/>
      <c r="H9" s="2163"/>
      <c r="I9" s="2163"/>
      <c r="J9" s="2163"/>
      <c r="K9" s="2163"/>
      <c r="L9" s="2163"/>
      <c r="M9" s="2163"/>
      <c r="N9" s="2163"/>
      <c r="O9" s="2163"/>
      <c r="P9" s="2163"/>
      <c r="Q9" s="2163"/>
      <c r="R9" s="2163"/>
      <c r="S9" s="2163"/>
      <c r="T9" s="2163"/>
      <c r="U9" s="2164"/>
      <c r="V9" s="2099" t="s">
        <v>7</v>
      </c>
      <c r="W9" s="2099"/>
      <c r="X9" s="2100" t="s">
        <v>58</v>
      </c>
      <c r="Y9" s="2100"/>
      <c r="Z9" s="2100" t="s">
        <v>535</v>
      </c>
      <c r="AA9" s="2100"/>
      <c r="CB9" s="1755"/>
      <c r="CC9" s="1724"/>
      <c r="CD9" s="1755"/>
      <c r="CE9" s="1724"/>
      <c r="CF9" s="1755"/>
      <c r="CG9" s="1724"/>
      <c r="CJ9" s="559"/>
      <c r="CK9" s="559"/>
      <c r="CL9" s="559"/>
      <c r="CM9" s="559"/>
      <c r="CO9" s="1755"/>
      <c r="CP9" s="1724"/>
      <c r="CQ9" s="1755"/>
      <c r="CR9" s="1724"/>
      <c r="CS9" s="1755"/>
      <c r="CT9" s="1724"/>
    </row>
    <row r="10" spans="1:98" ht="18" customHeight="1">
      <c r="A10" s="2144"/>
      <c r="B10" s="2145"/>
      <c r="C10" s="2161"/>
      <c r="D10" s="2161"/>
      <c r="E10" s="2161"/>
      <c r="F10" s="2165" t="s">
        <v>23</v>
      </c>
      <c r="G10" s="1942"/>
      <c r="H10" s="1941" t="s">
        <v>358</v>
      </c>
      <c r="I10" s="1942"/>
      <c r="J10" s="1941" t="s">
        <v>359</v>
      </c>
      <c r="K10" s="1942"/>
      <c r="L10" s="1941" t="s">
        <v>537</v>
      </c>
      <c r="M10" s="2165"/>
      <c r="N10" s="1941" t="s">
        <v>538</v>
      </c>
      <c r="O10" s="2165"/>
      <c r="P10" s="1941" t="s">
        <v>539</v>
      </c>
      <c r="Q10" s="2165"/>
      <c r="R10" s="1941" t="s">
        <v>540</v>
      </c>
      <c r="S10" s="2165"/>
      <c r="T10" s="1941" t="s">
        <v>541</v>
      </c>
      <c r="U10" s="2165"/>
      <c r="V10" s="2099"/>
      <c r="W10" s="2099"/>
      <c r="X10" s="2100"/>
      <c r="Y10" s="2100"/>
      <c r="Z10" s="2100"/>
      <c r="AA10" s="2100"/>
      <c r="CB10" s="976" t="s">
        <v>42</v>
      </c>
      <c r="CC10" s="976" t="s">
        <v>179</v>
      </c>
      <c r="CD10" s="976" t="s">
        <v>42</v>
      </c>
      <c r="CE10" s="976" t="s">
        <v>179</v>
      </c>
      <c r="CF10" s="976" t="s">
        <v>42</v>
      </c>
      <c r="CG10" s="976" t="s">
        <v>179</v>
      </c>
      <c r="CJ10" s="894"/>
      <c r="CK10" s="894"/>
      <c r="CL10" s="894"/>
      <c r="CM10" s="894"/>
      <c r="CO10" s="976" t="s">
        <v>42</v>
      </c>
      <c r="CP10" s="976" t="s">
        <v>179</v>
      </c>
      <c r="CQ10" s="976" t="s">
        <v>42</v>
      </c>
      <c r="CR10" s="976" t="s">
        <v>179</v>
      </c>
      <c r="CS10" s="976" t="s">
        <v>42</v>
      </c>
      <c r="CT10" s="976" t="s">
        <v>179</v>
      </c>
    </row>
    <row r="11" spans="1:98" ht="20">
      <c r="A11" s="2146"/>
      <c r="B11" s="2147"/>
      <c r="C11" s="811" t="s">
        <v>361</v>
      </c>
      <c r="D11" s="977" t="s">
        <v>42</v>
      </c>
      <c r="E11" s="978" t="s">
        <v>179</v>
      </c>
      <c r="F11" s="690" t="s">
        <v>362</v>
      </c>
      <c r="G11" s="691" t="s">
        <v>179</v>
      </c>
      <c r="H11" s="690" t="s">
        <v>362</v>
      </c>
      <c r="I11" s="691" t="s">
        <v>179</v>
      </c>
      <c r="J11" s="690" t="s">
        <v>362</v>
      </c>
      <c r="K11" s="691" t="s">
        <v>179</v>
      </c>
      <c r="L11" s="690" t="s">
        <v>362</v>
      </c>
      <c r="M11" s="692" t="s">
        <v>179</v>
      </c>
      <c r="N11" s="690" t="s">
        <v>362</v>
      </c>
      <c r="O11" s="692" t="s">
        <v>179</v>
      </c>
      <c r="P11" s="690" t="s">
        <v>362</v>
      </c>
      <c r="Q11" s="692" t="s">
        <v>179</v>
      </c>
      <c r="R11" s="690" t="s">
        <v>362</v>
      </c>
      <c r="S11" s="692" t="s">
        <v>179</v>
      </c>
      <c r="T11" s="690" t="s">
        <v>362</v>
      </c>
      <c r="U11" s="692" t="s">
        <v>179</v>
      </c>
      <c r="V11" s="364" t="s">
        <v>42</v>
      </c>
      <c r="W11" s="979" t="s">
        <v>179</v>
      </c>
      <c r="X11" s="858" t="s">
        <v>42</v>
      </c>
      <c r="Y11" s="979" t="s">
        <v>179</v>
      </c>
      <c r="Z11" s="858" t="s">
        <v>42</v>
      </c>
      <c r="AA11" s="979" t="s">
        <v>179</v>
      </c>
    </row>
    <row r="12" spans="1:98" ht="15" customHeight="1">
      <c r="A12" s="2128" t="s">
        <v>559</v>
      </c>
      <c r="B12" s="2129"/>
      <c r="C12" s="1094"/>
      <c r="D12" s="981">
        <f>+F12+H12+J12+L12+N12+P12+R12+T12</f>
        <v>0</v>
      </c>
      <c r="E12" s="982">
        <f>+G12+I12+K12+M12+O12+Q12+S12+U12</f>
        <v>0</v>
      </c>
      <c r="F12" s="983"/>
      <c r="G12" s="984"/>
      <c r="H12" s="983"/>
      <c r="I12" s="984"/>
      <c r="J12" s="983"/>
      <c r="K12" s="984"/>
      <c r="L12" s="983"/>
      <c r="M12" s="985"/>
      <c r="N12" s="983"/>
      <c r="O12" s="985"/>
      <c r="P12" s="983"/>
      <c r="Q12" s="985"/>
      <c r="R12" s="983"/>
      <c r="S12" s="985"/>
      <c r="T12" s="983"/>
      <c r="U12" s="985"/>
      <c r="V12" s="986"/>
      <c r="W12" s="984"/>
      <c r="X12" s="987"/>
      <c r="Y12" s="984"/>
      <c r="Z12" s="987"/>
      <c r="AA12" s="984"/>
      <c r="AB12" s="5" t="str">
        <f>CB12&amp;CC12&amp;CD12&amp;CE12&amp;CF12&amp;CG12</f>
        <v/>
      </c>
      <c r="CB12" s="142" t="str">
        <f>IF(AND(D12&gt;0,OR(V12=""))," * No olvide digitar la variable Pueblos Originarios Hombres. Digite Cero si no tiene.",IF(V12&gt;D12," * La variable Pueblos Originarios Hombres no puede ser Mayor al Total Hombres.",""))</f>
        <v/>
      </c>
      <c r="CC12" s="142" t="str">
        <f>IF(AND(E12&gt;0,OR(W12=""))," * No olvide digitar la variable Pueblos Originarios Mujeres. Digite Cero si no tiene.",IF(W12&gt;E12," * La variable Pueblos Originarios Mujeres no puede ser Mayor al Total Mujeres.",""))</f>
        <v/>
      </c>
      <c r="CD12" s="142" t="str">
        <f>IF(AND($D12&gt;0,OR(X12=""))," * No olvide digitar la variable Migrantes Hombres. Digite Cero si no tiene.",IF(X12&gt;$D12," * La variable Migrantes Hombres no puede ser Mayor al Total Hombres.",""))</f>
        <v/>
      </c>
      <c r="CE12" s="142" t="str">
        <f>IF(AND($E12&gt;0,OR(Y12=""))," * No olvide digitar la variable Migrantes Mujeres. Digite Cero si no tiene.",IF(Y12&gt;$E12," * La variable Migrantes Mujeres no puede ser Mayor al Total Mujeres.",""))</f>
        <v/>
      </c>
      <c r="CF12" s="142" t="str">
        <f>IF(AND($D12&gt;0,OR(Z12=""))," * No olvide digitar la variable Personas Mayores en ELEAM Hombres. Digite Cero si no tiene.",IF(Z12&gt;$D12," * La variable Personas Mayores en ELEAM Hombres no puede ser Mayor al Total Hombres.",""))</f>
        <v/>
      </c>
      <c r="CG12" s="142" t="str">
        <f>IF(AND($E12&gt;0,OR(AA12=""))," * No olvide digitar la variable Personas Mayores en ELEAM Mujeres. Digite Cero si no tiene.",IF(AA12&gt;$E12," * La variable Personas Mayores en ELEAM Mujeres no puede ser Mayor al Total Mujeres.",""))</f>
        <v/>
      </c>
      <c r="CO12" s="34">
        <f>IF(AND(D12&gt;0,OR(V12="")),1,IF(V12&gt;D12,1,0))</f>
        <v>0</v>
      </c>
      <c r="CP12" s="34">
        <f>IF(AND(E12&gt;0,OR(W12="")),1,IF(W12&gt;E12,1,0))</f>
        <v>0</v>
      </c>
      <c r="CQ12" s="34">
        <f>IF(AND($D12&gt;0,OR(X12="")),1,IF(X12&gt;$D12,1,0))</f>
        <v>0</v>
      </c>
      <c r="CR12" s="34">
        <f>IF(AND(E12&gt;0,OR(Y12="")),1,IF(Y12&gt;E12,1,0))</f>
        <v>0</v>
      </c>
      <c r="CS12" s="34">
        <f>IF(AND($D12&gt;0,OR(Z12="")),1,IF(Z12&gt;$D12,1,0))</f>
        <v>0</v>
      </c>
      <c r="CT12" s="34">
        <f>IF(AND($E12&gt;0,OR(AA12="")),1,IF(AA12&gt;$E12,1,0))</f>
        <v>0</v>
      </c>
    </row>
    <row r="13" spans="1:98" ht="15" customHeight="1">
      <c r="A13" s="2130" t="s">
        <v>560</v>
      </c>
      <c r="B13" s="2152"/>
      <c r="C13" s="1096"/>
      <c r="D13" s="989">
        <f t="shared" ref="D13:E14" si="0">+F13+H13+J13+L13+N13+P13+R13+T13</f>
        <v>0</v>
      </c>
      <c r="E13" s="990">
        <f t="shared" si="0"/>
        <v>0</v>
      </c>
      <c r="F13" s="991"/>
      <c r="G13" s="992"/>
      <c r="H13" s="991"/>
      <c r="I13" s="992"/>
      <c r="J13" s="991"/>
      <c r="K13" s="992"/>
      <c r="L13" s="991"/>
      <c r="M13" s="993"/>
      <c r="N13" s="991"/>
      <c r="O13" s="993"/>
      <c r="P13" s="991"/>
      <c r="Q13" s="993"/>
      <c r="R13" s="991"/>
      <c r="S13" s="993"/>
      <c r="T13" s="991"/>
      <c r="U13" s="993"/>
      <c r="V13" s="994"/>
      <c r="W13" s="992"/>
      <c r="X13" s="995"/>
      <c r="Y13" s="992"/>
      <c r="Z13" s="995"/>
      <c r="AA13" s="992"/>
      <c r="AB13" s="5" t="str">
        <f>CB13&amp;CC13&amp;CD13&amp;CE13&amp;CF13&amp;CG13</f>
        <v/>
      </c>
      <c r="CB13" s="142" t="str">
        <f>IF(AND(D13&gt;0,OR(V13=""))," * No olvide digitar la variable Pueblos Originarios Hombres. Digite Cero si no tiene.",IF(V13&gt;D13," * La variable Pueblos Originarios Hombres no puede ser Mayor al Total Hombres.",""))</f>
        <v/>
      </c>
      <c r="CC13" s="142" t="str">
        <f>IF(AND(E13&gt;0,OR(W13=""))," * No olvide digitar la variable Pueblos Originarios Mujeres. Digite Cero si no tiene.",IF(W13&gt;E13," * La variable Pueblos Originarios Mujeres no puede ser Mayor al Total Mujeres.",""))</f>
        <v/>
      </c>
      <c r="CD13" s="142" t="str">
        <f>IF(AND($D13&gt;0,OR(X13=""))," * No olvide digitar la variable Migrantes Hombres. Digite Cero si no tiene.",IF(X13&gt;$D13," * La variable Migrantes Hombres no puede ser Mayor al Total Hombres.",""))</f>
        <v/>
      </c>
      <c r="CE13" s="142" t="str">
        <f>IF(AND($E13&gt;0,OR(Y13=""))," * No olvide digitar la variable Migrantes Mujeres. Digite Cero si no tiene.",IF(Y13&gt;$E13," * La variable Migrantes Mujeres no puede ser Mayor al Total Mujeres.",""))</f>
        <v/>
      </c>
      <c r="CF13" s="142" t="str">
        <f>IF(AND($D13&gt;0,OR(Z13=""))," * No olvide digitar la variable Personas Mayores en ELEAM Hombres. Digite Cero si no tiene.",IF(Z13&gt;$D13," * La variable Personas Mayores en ELEAM Hombres no puede ser Mayor al Total Hombres.",""))</f>
        <v/>
      </c>
      <c r="CG13" s="142" t="str">
        <f>IF(AND($E13&gt;0,OR(AA13=""))," * No olvide digitar la variable Personas Mayores en ELEAM Mujeres. Digite Cero si no tiene.",IF(AA13&gt;$E13," * La variable Personas Mayores en ELEAM Mujeres no puede ser Mayor al Total Mujeres.",""))</f>
        <v/>
      </c>
      <c r="CO13" s="34">
        <f t="shared" ref="CO13:CP14" si="1">IF(AND(D13&gt;0,OR(V13="")),1,IF(V13&gt;D13,1,0))</f>
        <v>0</v>
      </c>
      <c r="CP13" s="34">
        <f t="shared" si="1"/>
        <v>0</v>
      </c>
      <c r="CQ13" s="34">
        <f>IF(AND($D13&gt;0,OR(X13="")),1,IF(X13&gt;$D13,1,0))</f>
        <v>0</v>
      </c>
      <c r="CR13" s="34">
        <f>IF(AND(E13&gt;0,OR(Y13="")),1,IF(Y13&gt;E13,1,0))</f>
        <v>0</v>
      </c>
      <c r="CS13" s="34">
        <f>IF(AND($D13&gt;0,OR(Z13="")),1,IF(Z13&gt;$D13,1,0))</f>
        <v>0</v>
      </c>
      <c r="CT13" s="34">
        <f>IF(AND($E13&gt;0,OR(AA13="")),1,IF(AA13&gt;$E13,1,0))</f>
        <v>0</v>
      </c>
    </row>
    <row r="14" spans="1:98" ht="15" customHeight="1">
      <c r="A14" s="2132" t="s">
        <v>561</v>
      </c>
      <c r="B14" s="2133"/>
      <c r="C14" s="1097"/>
      <c r="D14" s="989">
        <f t="shared" si="0"/>
        <v>0</v>
      </c>
      <c r="E14" s="990">
        <f t="shared" si="0"/>
        <v>0</v>
      </c>
      <c r="F14" s="996"/>
      <c r="G14" s="997"/>
      <c r="H14" s="996"/>
      <c r="I14" s="997"/>
      <c r="J14" s="996"/>
      <c r="K14" s="997"/>
      <c r="L14" s="996"/>
      <c r="M14" s="998"/>
      <c r="N14" s="996"/>
      <c r="O14" s="998"/>
      <c r="P14" s="996"/>
      <c r="Q14" s="998"/>
      <c r="R14" s="996"/>
      <c r="S14" s="998"/>
      <c r="T14" s="999"/>
      <c r="U14" s="998"/>
      <c r="V14" s="1000"/>
      <c r="W14" s="997"/>
      <c r="X14" s="1001"/>
      <c r="Y14" s="997"/>
      <c r="Z14" s="1001"/>
      <c r="AA14" s="997"/>
      <c r="AB14" s="5" t="str">
        <f>CB14&amp;CC14&amp;CD14&amp;CE14&amp;CF14&amp;CG14</f>
        <v/>
      </c>
      <c r="CB14" s="142" t="str">
        <f>IF(AND(D14&gt;0,OR(V14=""))," * No olvide digitar la variable Pueblos Originarios Hombres. Digite Cero si no tiene.",IF(V14&gt;D14," * La variable Pueblos Originarios Hombres no puede ser Mayor al Total Hombres.",""))</f>
        <v/>
      </c>
      <c r="CC14" s="142" t="str">
        <f>IF(AND(E14&gt;0,OR(W14=""))," * No olvide digitar la variable Pueblos Originarios Mujeres. Digite Cero si no tiene.",IF(W14&gt;E14," * La variable Pueblos Originarios Mujeres no puede ser Mayor al Total Mujeres.",""))</f>
        <v/>
      </c>
      <c r="CD14" s="142" t="str">
        <f>IF(AND($D14&gt;0,OR(X14=""))," * No olvide digitar la variable Migrantes Hombres. Digite Cero si no tiene.",IF(X14&gt;$D14," * La variable Migrantes Hombres no puede ser Mayor al Total Hombres.",""))</f>
        <v/>
      </c>
      <c r="CE14" s="142" t="str">
        <f>IF(AND($E14&gt;0,OR(Y14=""))," * No olvide digitar la variable Migrantes Mujeres. Digite Cero si no tiene.",IF(Y14&gt;$E14," * La variable Migrantes Mujeres no puede ser Mayor al Total Mujeres.",""))</f>
        <v/>
      </c>
      <c r="CF14" s="142" t="str">
        <f>IF(AND($D14&gt;0,OR(Z14=""))," * No olvide digitar la variable Personas Mayores en ELEAM Hombres. Digite Cero si no tiene.",IF(Z14&gt;$D14," * La variable Personas Mayores en ELEAM Hombres no puede ser Mayor al Total Hombres.",""))</f>
        <v/>
      </c>
      <c r="CG14" s="142" t="str">
        <f>IF(AND($E14&gt;0,OR(AA14=""))," * No olvide digitar la variable Personas Mayores en ELEAM Mujeres. Digite Cero si no tiene.",IF(AA14&gt;$E14," * La variable Personas Mayores en ELEAM Mujeres no puede ser Mayor al Total Mujeres.",""))</f>
        <v/>
      </c>
      <c r="CO14" s="34">
        <f t="shared" si="1"/>
        <v>0</v>
      </c>
      <c r="CP14" s="34">
        <f t="shared" si="1"/>
        <v>0</v>
      </c>
      <c r="CQ14" s="34">
        <f>IF(AND($D14&gt;0,OR(X14="")),1,IF(X14&gt;$D14,1,0))</f>
        <v>0</v>
      </c>
      <c r="CR14" s="34">
        <f>IF(AND(E14&gt;0,OR(Y14="")),1,IF(Y14&gt;E14,1,0))</f>
        <v>0</v>
      </c>
      <c r="CS14" s="34">
        <f>IF(AND($D14&gt;0,OR(Z14="")),1,IF(Z14&gt;$D14,1,0))</f>
        <v>0</v>
      </c>
      <c r="CT14" s="34">
        <f>IF(AND($E14&gt;0,OR(AA14="")),1,IF(AA14&gt;$E14,1,0))</f>
        <v>0</v>
      </c>
    </row>
    <row r="15" spans="1:98" ht="15" customHeight="1">
      <c r="A15" s="2134" t="s">
        <v>542</v>
      </c>
      <c r="B15" s="2153"/>
      <c r="C15" s="1098"/>
      <c r="D15" s="1002">
        <f>+F15+H15+J15+L15+N15+P15+R15+T15</f>
        <v>0</v>
      </c>
      <c r="E15" s="1003">
        <f>+G15+I15+K15+M15+O15+Q15+S15+U15</f>
        <v>0</v>
      </c>
      <c r="F15" s="1004">
        <f>SUM(F12:F14)</f>
        <v>0</v>
      </c>
      <c r="G15" s="1003">
        <f t="shared" ref="G15:X15" si="2">SUM(G12:G14)</f>
        <v>0</v>
      </c>
      <c r="H15" s="1004">
        <f t="shared" si="2"/>
        <v>0</v>
      </c>
      <c r="I15" s="1003">
        <f t="shared" si="2"/>
        <v>0</v>
      </c>
      <c r="J15" s="1004">
        <f t="shared" si="2"/>
        <v>0</v>
      </c>
      <c r="K15" s="1003">
        <f t="shared" si="2"/>
        <v>0</v>
      </c>
      <c r="L15" s="1004">
        <f t="shared" si="2"/>
        <v>0</v>
      </c>
      <c r="M15" s="1005">
        <f t="shared" si="2"/>
        <v>0</v>
      </c>
      <c r="N15" s="1004">
        <f t="shared" si="2"/>
        <v>0</v>
      </c>
      <c r="O15" s="1005">
        <f t="shared" si="2"/>
        <v>0</v>
      </c>
      <c r="P15" s="1004">
        <f t="shared" si="2"/>
        <v>0</v>
      </c>
      <c r="Q15" s="1005">
        <f t="shared" si="2"/>
        <v>0</v>
      </c>
      <c r="R15" s="1004">
        <f t="shared" si="2"/>
        <v>0</v>
      </c>
      <c r="S15" s="1005">
        <f t="shared" si="2"/>
        <v>0</v>
      </c>
      <c r="T15" s="1004">
        <f t="shared" si="2"/>
        <v>0</v>
      </c>
      <c r="U15" s="1005">
        <f t="shared" si="2"/>
        <v>0</v>
      </c>
      <c r="V15" s="1006">
        <f>SUM(V12:V14)</f>
        <v>0</v>
      </c>
      <c r="W15" s="1003">
        <f>SUM(W12:W14)</f>
        <v>0</v>
      </c>
      <c r="X15" s="1002">
        <f t="shared" si="2"/>
        <v>0</v>
      </c>
      <c r="Y15" s="1003">
        <f>SUM(Y12:Y14)</f>
        <v>0</v>
      </c>
      <c r="Z15" s="1002">
        <f t="shared" ref="Z15" si="3">SUM(Z12:Z14)</f>
        <v>0</v>
      </c>
      <c r="AA15" s="1003">
        <f>SUM(AA12:AA14)</f>
        <v>0</v>
      </c>
      <c r="AB15" s="5"/>
      <c r="BC15" s="346"/>
      <c r="BD15" s="346"/>
      <c r="BE15" s="346"/>
      <c r="BF15" s="346"/>
      <c r="BG15" s="346"/>
      <c r="BH15" s="346"/>
      <c r="BI15" s="346"/>
      <c r="BJ15" s="346"/>
      <c r="BK15" s="346"/>
      <c r="BL15" s="346"/>
      <c r="BM15" s="346"/>
    </row>
    <row r="16" spans="1:98" ht="15" customHeight="1">
      <c r="A16" s="2128" t="s">
        <v>562</v>
      </c>
      <c r="B16" s="2129"/>
      <c r="C16" s="1094"/>
      <c r="D16" s="981">
        <f>+F16+H16+J16+L16+N16+P16+R16+T16</f>
        <v>0</v>
      </c>
      <c r="E16" s="982">
        <f t="shared" ref="E16:E19" si="4">+G16+I16+K16+M16+O16+Q16+S16+U16</f>
        <v>0</v>
      </c>
      <c r="F16" s="983"/>
      <c r="G16" s="984"/>
      <c r="H16" s="983"/>
      <c r="I16" s="984"/>
      <c r="J16" s="983"/>
      <c r="K16" s="984"/>
      <c r="L16" s="983"/>
      <c r="M16" s="985"/>
      <c r="N16" s="983"/>
      <c r="O16" s="985"/>
      <c r="P16" s="983"/>
      <c r="Q16" s="985"/>
      <c r="R16" s="983"/>
      <c r="S16" s="985"/>
      <c r="T16" s="983"/>
      <c r="U16" s="985"/>
      <c r="V16" s="986"/>
      <c r="W16" s="984"/>
      <c r="X16" s="987"/>
      <c r="Y16" s="984"/>
      <c r="Z16" s="987"/>
      <c r="AA16" s="984"/>
      <c r="AB16" s="5" t="str">
        <f>CB16&amp;CC16&amp;CD16&amp;CE16&amp;CF16&amp;CG16</f>
        <v/>
      </c>
      <c r="CB16" s="142" t="str">
        <f>IF(AND(D16&gt;0,OR(V16=""))," * No olvide digitar la variable Pueblos Originarios Hombres. Digite Cero si no tiene.",IF(V16&gt;D16," * La variable Pueblos Originarios Hombres no puede ser Mayor al Total Hombres.",""))</f>
        <v/>
      </c>
      <c r="CC16" s="142" t="str">
        <f>IF(AND(E16&gt;0,OR(W16=""))," * No olvide digitar la variable Pueblos Originarios Mujeres. Digite Cero si no tiene.",IF(W16&gt;E16," * La variable Pueblos Originarios Mujeres no puede ser Mayor al Total Mujeres.",""))</f>
        <v/>
      </c>
      <c r="CD16" s="142" t="str">
        <f>IF(AND($D16&gt;0,OR(X16=""))," * No olvide digitar la variable Migrantes Hombres. Digite Cero si no tiene.",IF(X16&gt;$D16," * La variable Migrantes Hombres no puede ser Mayor al Total Hombres.",""))</f>
        <v/>
      </c>
      <c r="CE16" s="142" t="str">
        <f>IF(AND($E16&gt;0,OR(Y16=""))," * No olvide digitar la variable Migrantes Mujeres. Digite Cero si no tiene.",IF(Y16&gt;$E16," * La variable Migrantes Mujeres no puede ser Mayor al Total Mujeres.",""))</f>
        <v/>
      </c>
      <c r="CF16" s="142" t="str">
        <f>IF(AND($D16&gt;0,OR(Z16=""))," * No olvide digitar la variable Personas Mayores en ELEAM Hombres. Digite Cero si no tiene.",IF(Z16&gt;$D16," * La variable Personas Mayores en ELEAM Hombres no puede ser Mayor al Total Hombres.",""))</f>
        <v/>
      </c>
      <c r="CG16" s="142" t="str">
        <f>IF(AND($E16&gt;0,OR(AA16=""))," * No olvide digitar la variable Personas Mayores en ELEAM Mujeres. Digite Cero si no tiene.",IF(AA16&gt;$E16," * La variable Personas Mayores en ELEAM Mujeres no puede ser Mayor al Total Mujeres.",""))</f>
        <v/>
      </c>
      <c r="CO16" s="34">
        <f t="shared" ref="CO16:CP19" si="5">IF(AND(D16&gt;0,OR(V16="")),1,IF(V16&gt;D16,1,0))</f>
        <v>0</v>
      </c>
      <c r="CP16" s="34">
        <f t="shared" si="5"/>
        <v>0</v>
      </c>
      <c r="CQ16" s="34">
        <f>IF(AND($D16&gt;0,OR(X16="")),1,IF(X16&gt;$D16,1,0))</f>
        <v>0</v>
      </c>
      <c r="CR16" s="34">
        <f>IF(AND($E16&gt;0,OR(Y16="")),1,IF(Y16&gt;$E16,1,0))</f>
        <v>0</v>
      </c>
      <c r="CS16" s="34">
        <f>IF(AND($D16&gt;0,OR(Z16="")),1,IF(Z16&gt;$D16,1,0))</f>
        <v>0</v>
      </c>
      <c r="CT16" s="34">
        <f>IF(AND($E16&gt;0,OR(AA16="")),1,IF(AA16&gt;$E16,1,0))</f>
        <v>0</v>
      </c>
    </row>
    <row r="17" spans="1:100" ht="15" customHeight="1">
      <c r="A17" s="2154" t="s">
        <v>563</v>
      </c>
      <c r="B17" s="2155"/>
      <c r="C17" s="1099"/>
      <c r="D17" s="989">
        <f t="shared" ref="D17:D18" si="6">+F17+H17+J17+L17+N17+P17+R17+T17</f>
        <v>0</v>
      </c>
      <c r="E17" s="1007">
        <f t="shared" si="4"/>
        <v>0</v>
      </c>
      <c r="F17" s="991"/>
      <c r="G17" s="992"/>
      <c r="H17" s="991"/>
      <c r="I17" s="992"/>
      <c r="J17" s="991"/>
      <c r="K17" s="992"/>
      <c r="L17" s="991"/>
      <c r="M17" s="993"/>
      <c r="N17" s="991"/>
      <c r="O17" s="993"/>
      <c r="P17" s="991"/>
      <c r="Q17" s="993"/>
      <c r="R17" s="991"/>
      <c r="S17" s="993"/>
      <c r="T17" s="991"/>
      <c r="U17" s="993"/>
      <c r="V17" s="994"/>
      <c r="W17" s="992"/>
      <c r="X17" s="995"/>
      <c r="Y17" s="992"/>
      <c r="Z17" s="995"/>
      <c r="AA17" s="992"/>
      <c r="AB17" s="5" t="str">
        <f>CB17&amp;CC17&amp;CD17&amp;CE17&amp;CF17&amp;CG17</f>
        <v/>
      </c>
      <c r="CB17" s="142" t="str">
        <f>IF(AND(D17&gt;0,OR(V17=""))," * No olvide digitar la variable Pueblos Originarios Hombres. Digite Cero si no tiene.",IF(V17&gt;D17," * La variable Pueblos Originarios Hombres no puede ser Mayor al Total Hombres.",""))</f>
        <v/>
      </c>
      <c r="CC17" s="142" t="str">
        <f>IF(AND(E17&gt;0,OR(W17=""))," * No olvide digitar la variable Pueblos Originarios Mujeres. Digite Cero si no tiene.",IF(W17&gt;E17," * La variable Pueblos Originarios Mujeres no puede ser Mayor al Total Mujeres.",""))</f>
        <v/>
      </c>
      <c r="CD17" s="142" t="str">
        <f>IF(AND($D17&gt;0,OR(X17=""))," * No olvide digitar la variable Migrantes Hombres. Digite Cero si no tiene.",IF(X17&gt;$D17," * La variable Migrantes Hombres no puede ser Mayor al Total Hombres.",""))</f>
        <v/>
      </c>
      <c r="CE17" s="142" t="str">
        <f>IF(AND($E17&gt;0,OR(Y17=""))," * No olvide digitar la variable Migrantes Mujeres. Digite Cero si no tiene.",IF(Y17&gt;$E17," * La variable Migrantes Mujeres no puede ser Mayor al Total Mujeres.",""))</f>
        <v/>
      </c>
      <c r="CF17" s="142" t="str">
        <f>IF(AND($D17&gt;0,OR(Z17=""))," * No olvide digitar la variable Personas Mayores en ELEAM Hombres. Digite Cero si no tiene.",IF(Z17&gt;$D17," * La variable Personas Mayores en ELEAM Hombres no puede ser Mayor al Total Hombres.",""))</f>
        <v/>
      </c>
      <c r="CG17" s="142" t="str">
        <f>IF(AND($E17&gt;0,OR(AA17=""))," * No olvide digitar la variable Personas Mayores en ELEAM Mujeres. Digite Cero si no tiene.",IF(AA17&gt;$E17," * La variable Personas Mayores en ELEAM Mujeres no puede ser Mayor al Total Mujeres.",""))</f>
        <v/>
      </c>
      <c r="CO17" s="34">
        <f t="shared" si="5"/>
        <v>0</v>
      </c>
      <c r="CP17" s="34">
        <f t="shared" si="5"/>
        <v>0</v>
      </c>
      <c r="CQ17" s="34">
        <f>IF(AND($D17&gt;0,OR(X17="")),1,IF(X17&gt;$D17,1,0))</f>
        <v>0</v>
      </c>
      <c r="CR17" s="34">
        <f>IF(AND($E17&gt;0,OR(Y17="")),1,IF(Y17&gt;$E17,1,0))</f>
        <v>0</v>
      </c>
      <c r="CS17" s="34">
        <f>IF(AND($D17&gt;0,OR(Z17="")),1,IF(Z17&gt;$D17,1,0))</f>
        <v>0</v>
      </c>
      <c r="CT17" s="34">
        <f>IF(AND($E17&gt;0,OR(AA17="")),1,IF(AA17&gt;$E17,1,0))</f>
        <v>0</v>
      </c>
    </row>
    <row r="18" spans="1:100" ht="15" customHeight="1">
      <c r="A18" s="2154" t="s">
        <v>564</v>
      </c>
      <c r="B18" s="2156"/>
      <c r="C18" s="1100"/>
      <c r="D18" s="989">
        <f t="shared" si="6"/>
        <v>0</v>
      </c>
      <c r="E18" s="1007">
        <f t="shared" si="4"/>
        <v>0</v>
      </c>
      <c r="F18" s="991"/>
      <c r="G18" s="992"/>
      <c r="H18" s="991"/>
      <c r="I18" s="992"/>
      <c r="J18" s="991"/>
      <c r="K18" s="992"/>
      <c r="L18" s="991"/>
      <c r="M18" s="993"/>
      <c r="N18" s="991"/>
      <c r="O18" s="993"/>
      <c r="P18" s="991"/>
      <c r="Q18" s="993"/>
      <c r="R18" s="991"/>
      <c r="S18" s="993"/>
      <c r="T18" s="991"/>
      <c r="U18" s="993"/>
      <c r="V18" s="994"/>
      <c r="W18" s="992"/>
      <c r="X18" s="995"/>
      <c r="Y18" s="992"/>
      <c r="Z18" s="995"/>
      <c r="AA18" s="992"/>
      <c r="AB18" s="5" t="str">
        <f>CB18&amp;CC18&amp;CD18&amp;CE18&amp;CF18&amp;CG18</f>
        <v/>
      </c>
      <c r="CB18" s="142" t="str">
        <f>IF(AND(D18&gt;0,OR(V18=""))," * No olvide digitar la variable Pueblos Originarios Hombres. Digite Cero si no tiene.",IF(V18&gt;D18," * La variable Pueblos Originarios Hombres no puede ser Mayor al Total Hombres.",""))</f>
        <v/>
      </c>
      <c r="CC18" s="142" t="str">
        <f>IF(AND(E18&gt;0,OR(W18=""))," * No olvide digitar la variable Pueblos Originarios Mujeres. Digite Cero si no tiene.",IF(W18&gt;E18," * La variable Pueblos Originarios Mujeres no puede ser Mayor al Total Mujeres.",""))</f>
        <v/>
      </c>
      <c r="CD18" s="142" t="str">
        <f>IF(AND($D18&gt;0,OR(X18=""))," * No olvide digitar la variable Migrantes Hombres. Digite Cero si no tiene.",IF(X18&gt;$D18," * La variable Migrantes Hombres no puede ser Mayor al Total Hombres.",""))</f>
        <v/>
      </c>
      <c r="CE18" s="142" t="str">
        <f>IF(AND($E18&gt;0,OR(Y18=""))," * No olvide digitar la variable Migrantes Mujeres. Digite Cero si no tiene.",IF(Y18&gt;$E18," * La variable Migrantes Mujeres no puede ser Mayor al Total Mujeres.",""))</f>
        <v/>
      </c>
      <c r="CF18" s="142" t="str">
        <f>IF(AND($D18&gt;0,OR(Z18=""))," * No olvide digitar la variable Personas Mayores en ELEAM Hombres. Digite Cero si no tiene.",IF(Z18&gt;$D18," * La variable Personas Mayores en ELEAM Hombres no puede ser Mayor al Total Hombres.",""))</f>
        <v/>
      </c>
      <c r="CG18" s="142" t="str">
        <f>IF(AND($E18&gt;0,OR(AA18=""))," * No olvide digitar la variable Personas Mayores en ELEAM Mujeres. Digite Cero si no tiene.",IF(AA18&gt;$E18," * La variable Personas Mayores en ELEAM Mujeres no puede ser Mayor al Total Mujeres.",""))</f>
        <v/>
      </c>
      <c r="CO18" s="34">
        <f t="shared" si="5"/>
        <v>0</v>
      </c>
      <c r="CP18" s="34">
        <f t="shared" si="5"/>
        <v>0</v>
      </c>
      <c r="CQ18" s="34">
        <f>IF(AND($D18&gt;0,OR(X18="")),1,IF(X18&gt;$D18,1,0))</f>
        <v>0</v>
      </c>
      <c r="CR18" s="34">
        <f>IF(AND($E18&gt;0,OR(Y18="")),1,IF(Y18&gt;$E18,1,0))</f>
        <v>0</v>
      </c>
      <c r="CS18" s="34">
        <f>IF(AND($D18&gt;0,OR(Z18="")),1,IF(Z18&gt;$D18,1,0))</f>
        <v>0</v>
      </c>
      <c r="CT18" s="34">
        <f>IF(AND($E18&gt;0,OR(AA18="")),1,IF(AA18&gt;$E18,1,0))</f>
        <v>0</v>
      </c>
    </row>
    <row r="19" spans="1:100" ht="15" customHeight="1">
      <c r="A19" s="2136" t="s">
        <v>565</v>
      </c>
      <c r="B19" s="2137"/>
      <c r="C19" s="1101"/>
      <c r="D19" s="1008">
        <f>+F19+H19+J19+L19+N19+P19+R19+T19</f>
        <v>0</v>
      </c>
      <c r="E19" s="1009">
        <f t="shared" si="4"/>
        <v>0</v>
      </c>
      <c r="F19" s="1010"/>
      <c r="G19" s="1011"/>
      <c r="H19" s="1010"/>
      <c r="I19" s="1011"/>
      <c r="J19" s="1010"/>
      <c r="K19" s="1011"/>
      <c r="L19" s="1010"/>
      <c r="M19" s="1012"/>
      <c r="N19" s="1010"/>
      <c r="O19" s="1012"/>
      <c r="P19" s="1010"/>
      <c r="Q19" s="1012"/>
      <c r="R19" s="1010"/>
      <c r="S19" s="1012"/>
      <c r="T19" s="1010"/>
      <c r="U19" s="1012"/>
      <c r="V19" s="1013"/>
      <c r="W19" s="1011"/>
      <c r="X19" s="1014"/>
      <c r="Y19" s="1011"/>
      <c r="Z19" s="1014"/>
      <c r="AA19" s="1011"/>
      <c r="AB19" s="5" t="str">
        <f>CB19&amp;CC19&amp;CD19&amp;CE19&amp;CF19&amp;CG19</f>
        <v/>
      </c>
      <c r="CB19" s="142" t="str">
        <f>IF(AND(D19&gt;0,OR(V19=""))," * No olvide digitar la variable Pueblos Originarios Hombres. Digite Cero si no tiene.",IF(V19&gt;D19," * La variable Pueblos Originarios Hombres no puede ser Mayor al Total Hombres.",""))</f>
        <v/>
      </c>
      <c r="CC19" s="142" t="str">
        <f>IF(AND(E19&gt;0,OR(W19=""))," * No olvide digitar la variable Pueblos Originarios Mujeres. Digite Cero si no tiene.",IF(W19&gt;E19," * La variable Pueblos Originarios Mujeres no puede ser Mayor al Total Mujeres.",""))</f>
        <v/>
      </c>
      <c r="CD19" s="142" t="str">
        <f>IF(AND($D19&gt;0,OR(X19=""))," * No olvide digitar la variable Migrantes Hombres. Digite Cero si no tiene.",IF(X19&gt;$D19," * La variable Migrantes Hombres no puede ser Mayor al Total Hombres.",""))</f>
        <v/>
      </c>
      <c r="CE19" s="142" t="str">
        <f>IF(AND($E19&gt;0,OR(Y19=""))," * No olvide digitar la variable Migrantes Mujeres. Digite Cero si no tiene.",IF(Y19&gt;$E19," * La variable Migrantes Mujeres no puede ser Mayor al Total Mujeres.",""))</f>
        <v/>
      </c>
      <c r="CF19" s="142" t="str">
        <f>IF(AND($D19&gt;0,OR(Z19=""))," * No olvide digitar la variable Personas Mayores en ELEAM Hombres. Digite Cero si no tiene.",IF(Z19&gt;$D19," * La variable Personas Mayores en ELEAM Hombres no puede ser Mayor al Total Hombres.",""))</f>
        <v/>
      </c>
      <c r="CG19" s="142" t="str">
        <f>IF(AND($E19&gt;0,OR(AA19=""))," * No olvide digitar la variable Personas Mayores en ELEAM Mujeres. Digite Cero si no tiene.",IF(AA19&gt;$E19," * La variable Personas Mayores en ELEAM Mujeres no puede ser Mayor al Total Mujeres.",""))</f>
        <v/>
      </c>
      <c r="CO19" s="34">
        <f t="shared" si="5"/>
        <v>0</v>
      </c>
      <c r="CP19" s="34">
        <f t="shared" si="5"/>
        <v>0</v>
      </c>
      <c r="CQ19" s="34">
        <f>IF(AND($D19&gt;0,OR(X19="")),1,IF(X19&gt;$D19,1,0))</f>
        <v>0</v>
      </c>
      <c r="CR19" s="34">
        <f>IF(AND($E19&gt;0,OR(Y19="")),1,IF(Y19&gt;$E19,1,0))</f>
        <v>0</v>
      </c>
      <c r="CS19" s="34">
        <f>IF(AND($D19&gt;0,OR(Z19="")),1,IF(Z19&gt;$D19,1,0))</f>
        <v>0</v>
      </c>
      <c r="CT19" s="34">
        <f>IF(AND($E19&gt;0,OR(AA19="")),1,IF(AA19&gt;$E19,1,0))</f>
        <v>0</v>
      </c>
    </row>
    <row r="20" spans="1:100" ht="15" customHeight="1">
      <c r="A20" s="2138" t="s">
        <v>543</v>
      </c>
      <c r="B20" s="2139"/>
      <c r="C20" s="1102"/>
      <c r="D20" s="1002">
        <f>+F20+H20+J20+L20+N20+P20+R20+T20</f>
        <v>0</v>
      </c>
      <c r="E20" s="1015">
        <f>+G20+I20+K20+M20+O20+Q20+S20+U20</f>
        <v>0</v>
      </c>
      <c r="F20" s="1016">
        <f>SUM(F16:F19)</f>
        <v>0</v>
      </c>
      <c r="G20" s="1017">
        <f t="shared" ref="G20:X20" si="7">SUM(G16:G19)</f>
        <v>0</v>
      </c>
      <c r="H20" s="1016">
        <f t="shared" si="7"/>
        <v>0</v>
      </c>
      <c r="I20" s="1017">
        <f t="shared" si="7"/>
        <v>0</v>
      </c>
      <c r="J20" s="1018">
        <f t="shared" si="7"/>
        <v>0</v>
      </c>
      <c r="K20" s="1017">
        <f t="shared" si="7"/>
        <v>0</v>
      </c>
      <c r="L20" s="1016">
        <f t="shared" si="7"/>
        <v>0</v>
      </c>
      <c r="M20" s="1019">
        <f t="shared" si="7"/>
        <v>0</v>
      </c>
      <c r="N20" s="1016">
        <f t="shared" si="7"/>
        <v>0</v>
      </c>
      <c r="O20" s="1019">
        <f t="shared" si="7"/>
        <v>0</v>
      </c>
      <c r="P20" s="1016">
        <f t="shared" si="7"/>
        <v>0</v>
      </c>
      <c r="Q20" s="1019">
        <f t="shared" si="7"/>
        <v>0</v>
      </c>
      <c r="R20" s="1016">
        <f t="shared" si="7"/>
        <v>0</v>
      </c>
      <c r="S20" s="1019">
        <f t="shared" si="7"/>
        <v>0</v>
      </c>
      <c r="T20" s="1016">
        <f t="shared" si="7"/>
        <v>0</v>
      </c>
      <c r="U20" s="1019">
        <f t="shared" si="7"/>
        <v>0</v>
      </c>
      <c r="V20" s="1020">
        <f>SUM(V16:V19)</f>
        <v>0</v>
      </c>
      <c r="W20" s="1021">
        <f>SUM(W16:W19)</f>
        <v>0</v>
      </c>
      <c r="X20" s="1022">
        <f t="shared" si="7"/>
        <v>0</v>
      </c>
      <c r="Y20" s="1021">
        <f>SUM(Y16:Y19)</f>
        <v>0</v>
      </c>
      <c r="Z20" s="1022">
        <f t="shared" ref="Z20" si="8">SUM(Z16:Z19)</f>
        <v>0</v>
      </c>
      <c r="AA20" s="1021">
        <f>SUM(AA16:AA19)</f>
        <v>0</v>
      </c>
      <c r="AB20" s="5"/>
      <c r="BC20" s="346"/>
      <c r="BD20" s="346"/>
      <c r="BE20" s="346"/>
      <c r="BF20" s="346"/>
      <c r="BG20" s="346"/>
      <c r="BH20" s="346"/>
      <c r="BI20" s="346"/>
      <c r="BJ20" s="346"/>
      <c r="BK20" s="346"/>
      <c r="BL20" s="346"/>
      <c r="BM20" s="346"/>
    </row>
    <row r="21" spans="1:100" ht="22" customHeight="1">
      <c r="A21" s="2140" t="s">
        <v>544</v>
      </c>
      <c r="B21" s="2141"/>
      <c r="C21" s="1103"/>
      <c r="D21" s="1002">
        <f>+F21+H21+J21+L21+N21+P21+R21+T21</f>
        <v>0</v>
      </c>
      <c r="E21" s="1015">
        <f>+G21+I21+K21+M21+O21+Q21+S21+U21</f>
        <v>0</v>
      </c>
      <c r="F21" s="1016">
        <f>+F15+F20</f>
        <v>0</v>
      </c>
      <c r="G21" s="1017">
        <f t="shared" ref="G21:X21" si="9">+G15+G20</f>
        <v>0</v>
      </c>
      <c r="H21" s="1016">
        <f t="shared" si="9"/>
        <v>0</v>
      </c>
      <c r="I21" s="1017">
        <f t="shared" si="9"/>
        <v>0</v>
      </c>
      <c r="J21" s="1016">
        <f t="shared" si="9"/>
        <v>0</v>
      </c>
      <c r="K21" s="1017">
        <f t="shared" si="9"/>
        <v>0</v>
      </c>
      <c r="L21" s="1016">
        <f t="shared" si="9"/>
        <v>0</v>
      </c>
      <c r="M21" s="1019">
        <f t="shared" si="9"/>
        <v>0</v>
      </c>
      <c r="N21" s="1016">
        <f t="shared" si="9"/>
        <v>0</v>
      </c>
      <c r="O21" s="1019">
        <f t="shared" si="9"/>
        <v>0</v>
      </c>
      <c r="P21" s="1016">
        <f t="shared" si="9"/>
        <v>0</v>
      </c>
      <c r="Q21" s="1019">
        <f t="shared" si="9"/>
        <v>0</v>
      </c>
      <c r="R21" s="1016">
        <f t="shared" si="9"/>
        <v>0</v>
      </c>
      <c r="S21" s="1019">
        <f t="shared" si="9"/>
        <v>0</v>
      </c>
      <c r="T21" s="1016">
        <f t="shared" si="9"/>
        <v>0</v>
      </c>
      <c r="U21" s="1019">
        <f t="shared" si="9"/>
        <v>0</v>
      </c>
      <c r="V21" s="1020">
        <f>+V15+V20</f>
        <v>0</v>
      </c>
      <c r="W21" s="1017">
        <f>+W15+W20</f>
        <v>0</v>
      </c>
      <c r="X21" s="1022">
        <f t="shared" si="9"/>
        <v>0</v>
      </c>
      <c r="Y21" s="1017">
        <f>+Y15+Y20</f>
        <v>0</v>
      </c>
      <c r="Z21" s="1022">
        <f t="shared" ref="Z21" si="10">+Z15+Z20</f>
        <v>0</v>
      </c>
      <c r="AA21" s="1017">
        <f>+AA15+AA20</f>
        <v>0</v>
      </c>
      <c r="AB21" s="5"/>
    </row>
    <row r="22" spans="1:100" s="31" customFormat="1" ht="17.149999999999999" customHeight="1">
      <c r="A22" s="1023" t="s">
        <v>545</v>
      </c>
      <c r="B22" s="1023"/>
      <c r="C22" s="1023"/>
      <c r="D22" s="1023"/>
      <c r="E22" s="1023"/>
      <c r="F22" s="1023"/>
      <c r="G22" s="1023"/>
      <c r="H22" s="1023"/>
      <c r="I22" s="1024"/>
      <c r="J22" s="1024"/>
      <c r="K22" s="1024"/>
      <c r="L22" s="1024"/>
      <c r="M22" s="1024"/>
      <c r="N22" s="1024"/>
      <c r="O22" s="1024"/>
      <c r="P22" s="1024"/>
      <c r="Q22" s="1025"/>
      <c r="R22" s="1026"/>
      <c r="S22" s="1026"/>
      <c r="T22" s="1026"/>
      <c r="U22" s="1026"/>
      <c r="V22" s="1026"/>
      <c r="W22" s="1026"/>
      <c r="X22" s="1026"/>
      <c r="Y22" s="1026"/>
      <c r="Z22" s="1026"/>
      <c r="AA22" s="1026"/>
      <c r="AB22" s="969"/>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row>
    <row r="23" spans="1:100" ht="19.5" customHeight="1">
      <c r="A23" s="2142" t="s">
        <v>536</v>
      </c>
      <c r="B23" s="2143"/>
      <c r="C23" s="2148" t="s">
        <v>5</v>
      </c>
      <c r="D23" s="2148"/>
      <c r="E23" s="2148"/>
      <c r="F23" s="2149" t="s">
        <v>354</v>
      </c>
      <c r="G23" s="2150"/>
      <c r="H23" s="2150"/>
      <c r="I23" s="2150"/>
      <c r="J23" s="2150"/>
      <c r="K23" s="2150"/>
      <c r="L23" s="2150"/>
      <c r="M23" s="2150"/>
      <c r="N23" s="2150"/>
      <c r="O23" s="2150"/>
      <c r="P23" s="2150"/>
      <c r="Q23" s="2150"/>
      <c r="R23" s="2150"/>
      <c r="S23" s="2150"/>
      <c r="T23" s="2150"/>
      <c r="U23" s="2150"/>
      <c r="V23" s="2150"/>
      <c r="W23" s="2151"/>
      <c r="X23" s="2099" t="s">
        <v>7</v>
      </c>
      <c r="Y23" s="2099"/>
      <c r="Z23" s="2100" t="s">
        <v>58</v>
      </c>
      <c r="AA23" s="2100"/>
      <c r="CB23" s="559"/>
      <c r="CC23" s="559"/>
      <c r="CD23" s="559"/>
      <c r="CE23" s="559"/>
      <c r="CF23" s="559"/>
      <c r="CG23" s="559"/>
      <c r="CJ23" s="559"/>
      <c r="CK23" s="559"/>
      <c r="CL23" s="559"/>
      <c r="CM23" s="559"/>
      <c r="CO23" s="559"/>
      <c r="CP23" s="559"/>
      <c r="CQ23" s="559"/>
      <c r="CR23" s="559"/>
      <c r="CS23" s="559"/>
      <c r="CT23" s="559"/>
    </row>
    <row r="24" spans="1:100" ht="16.5" customHeight="1">
      <c r="A24" s="2144"/>
      <c r="B24" s="2145"/>
      <c r="C24" s="2148"/>
      <c r="D24" s="2148"/>
      <c r="E24" s="2148"/>
      <c r="F24" s="2101" t="s">
        <v>22</v>
      </c>
      <c r="G24" s="2083"/>
      <c r="H24" s="2101" t="s">
        <v>23</v>
      </c>
      <c r="I24" s="2083"/>
      <c r="J24" s="2101" t="s">
        <v>358</v>
      </c>
      <c r="K24" s="2083"/>
      <c r="L24" s="2101" t="s">
        <v>359</v>
      </c>
      <c r="M24" s="2083"/>
      <c r="N24" s="2101" t="s">
        <v>537</v>
      </c>
      <c r="O24" s="2098"/>
      <c r="P24" s="2101" t="s">
        <v>538</v>
      </c>
      <c r="Q24" s="2098"/>
      <c r="R24" s="2101" t="s">
        <v>539</v>
      </c>
      <c r="S24" s="2098"/>
      <c r="T24" s="2101" t="s">
        <v>540</v>
      </c>
      <c r="U24" s="2098"/>
      <c r="V24" s="2101" t="s">
        <v>541</v>
      </c>
      <c r="W24" s="2098"/>
      <c r="X24" s="2099"/>
      <c r="Y24" s="2099"/>
      <c r="Z24" s="2100"/>
      <c r="AA24" s="2100"/>
      <c r="CB24" s="559"/>
      <c r="CC24" s="559"/>
      <c r="CD24" s="559"/>
      <c r="CE24" s="559"/>
      <c r="CF24" s="559"/>
      <c r="CG24" s="559"/>
      <c r="CJ24" s="559"/>
      <c r="CK24" s="559"/>
      <c r="CL24" s="559"/>
      <c r="CM24" s="559"/>
      <c r="CO24" s="559"/>
      <c r="CP24" s="559"/>
      <c r="CQ24" s="559"/>
      <c r="CR24" s="559"/>
      <c r="CS24" s="559"/>
      <c r="CT24" s="559"/>
    </row>
    <row r="25" spans="1:100" ht="20">
      <c r="A25" s="2146"/>
      <c r="B25" s="2147"/>
      <c r="C25" s="1027" t="s">
        <v>361</v>
      </c>
      <c r="D25" s="1028" t="s">
        <v>42</v>
      </c>
      <c r="E25" s="1029" t="s">
        <v>179</v>
      </c>
      <c r="F25" s="690" t="s">
        <v>362</v>
      </c>
      <c r="G25" s="691" t="s">
        <v>179</v>
      </c>
      <c r="H25" s="690" t="s">
        <v>362</v>
      </c>
      <c r="I25" s="691" t="s">
        <v>179</v>
      </c>
      <c r="J25" s="690" t="s">
        <v>362</v>
      </c>
      <c r="K25" s="691" t="s">
        <v>179</v>
      </c>
      <c r="L25" s="690" t="s">
        <v>362</v>
      </c>
      <c r="M25" s="691" t="s">
        <v>179</v>
      </c>
      <c r="N25" s="690" t="s">
        <v>362</v>
      </c>
      <c r="O25" s="692" t="s">
        <v>179</v>
      </c>
      <c r="P25" s="690" t="s">
        <v>362</v>
      </c>
      <c r="Q25" s="691" t="s">
        <v>179</v>
      </c>
      <c r="R25" s="690" t="s">
        <v>362</v>
      </c>
      <c r="S25" s="691" t="s">
        <v>179</v>
      </c>
      <c r="T25" s="690" t="s">
        <v>362</v>
      </c>
      <c r="U25" s="692" t="s">
        <v>179</v>
      </c>
      <c r="V25" s="690" t="s">
        <v>362</v>
      </c>
      <c r="W25" s="692" t="s">
        <v>179</v>
      </c>
      <c r="X25" s="364" t="s">
        <v>42</v>
      </c>
      <c r="Y25" s="1030" t="s">
        <v>179</v>
      </c>
      <c r="Z25" s="1031" t="s">
        <v>42</v>
      </c>
      <c r="AA25" s="1030" t="s">
        <v>179</v>
      </c>
      <c r="CB25" s="20"/>
      <c r="CC25" s="20"/>
      <c r="CD25" s="20"/>
      <c r="CE25" s="20"/>
      <c r="CF25" s="894"/>
      <c r="CG25" s="894"/>
      <c r="CJ25" s="894"/>
      <c r="CK25" s="894"/>
      <c r="CL25" s="894"/>
      <c r="CM25" s="894"/>
      <c r="CO25" s="20"/>
      <c r="CP25" s="20"/>
      <c r="CQ25" s="20"/>
      <c r="CR25" s="20"/>
      <c r="CS25" s="894"/>
      <c r="CT25" s="894"/>
    </row>
    <row r="26" spans="1:100" ht="15" customHeight="1">
      <c r="A26" s="2128" t="s">
        <v>559</v>
      </c>
      <c r="B26" s="2129"/>
      <c r="C26" s="1094"/>
      <c r="D26" s="981">
        <f>+F26+H26+J26+L26+N26+P26+R26+T26+V26</f>
        <v>0</v>
      </c>
      <c r="E26" s="1032">
        <f>+G26+I26+K26+M26+O26+Q26+S26+U26+W26</f>
        <v>0</v>
      </c>
      <c r="F26" s="1033"/>
      <c r="G26" s="1034"/>
      <c r="H26" s="1033"/>
      <c r="I26" s="1034"/>
      <c r="J26" s="1033"/>
      <c r="K26" s="1034"/>
      <c r="L26" s="1033"/>
      <c r="M26" s="1034"/>
      <c r="N26" s="1033"/>
      <c r="O26" s="1035"/>
      <c r="P26" s="1033"/>
      <c r="Q26" s="1034"/>
      <c r="R26" s="1033"/>
      <c r="S26" s="1034"/>
      <c r="T26" s="1033"/>
      <c r="U26" s="1035"/>
      <c r="V26" s="1033"/>
      <c r="W26" s="1035"/>
      <c r="X26" s="1036"/>
      <c r="Y26" s="1034"/>
      <c r="Z26" s="987"/>
      <c r="AA26" s="984"/>
      <c r="AB26" s="5" t="str">
        <f>CB26&amp;CC26&amp;CD26&amp;CE26</f>
        <v/>
      </c>
      <c r="CB26" s="142" t="str">
        <f>IF(AND($D26&gt;0,OR(X26=""))," * No olvide digitar la variable Pueblos Originarios Hombres. Digite Cero si no tiene.",IF(X26&gt;$D26," * La variable Pueblos Originarios Hombres no puede ser Mayor al Total Hombres.",""))</f>
        <v/>
      </c>
      <c r="CC26" s="142" t="str">
        <f>IF(AND($E26&gt;0,OR(Y26=""))," * No olvide digitar la variable Pueblos Originarios Mujeres. Digite Cero si no tiene.",IF(Y26&gt;$E26," * La variable Pueblos Originarios Mujeres no puede ser Mayor al Total Mujeres.",""))</f>
        <v/>
      </c>
      <c r="CD26" s="142" t="str">
        <f>IF(AND($D26&gt;0,OR(Z26=""))," * No olvide digitar la variable Pueblos Originarios Hombres. Digite Cero si no tiene.",IF(Z26&gt;$D26," * La variable Pueblos Originarios Hombres no puede ser Mayor al Total Hombres.",""))</f>
        <v/>
      </c>
      <c r="CE26" s="142" t="str">
        <f>IF(AND($E26&gt;0,OR(AA26=""))," * No olvide digitar la variable Migrantes Mujeres. Digite Cero si no tiene.",IF(AA26&gt;$E26," * La variable Migrantes Mujeres no puede ser Mayor al Total Mujeres.",""))</f>
        <v/>
      </c>
      <c r="CO26" s="34">
        <f>IF(AND(D26&gt;0,OR(X26="")),1,IF(X26&gt;D26,1,0))</f>
        <v>0</v>
      </c>
      <c r="CP26" s="34">
        <f>IF(AND(E26&gt;0,OR(Y26="")),1,IF(Y26&gt;E26,1,0))</f>
        <v>0</v>
      </c>
      <c r="CQ26" s="34">
        <f>IF(AND($D26&gt;0,OR(Z26="")),1,IF(Z26&gt;$D26,1,0))</f>
        <v>0</v>
      </c>
      <c r="CR26" s="34">
        <f>IF(AND($E26&gt;0,OR(AA26="")),1,IF(AA26&gt;$E26,1,0))</f>
        <v>0</v>
      </c>
    </row>
    <row r="27" spans="1:100" ht="15" customHeight="1">
      <c r="A27" s="2130" t="s">
        <v>560</v>
      </c>
      <c r="B27" s="2131"/>
      <c r="C27" s="1105"/>
      <c r="D27" s="1037">
        <f>H27+J27+L27+N27+P27+R27+T27+V27</f>
        <v>0</v>
      </c>
      <c r="E27" s="1038">
        <f>I27+K27+M27+O27+Q27+S27+U27+W27</f>
        <v>0</v>
      </c>
      <c r="F27" s="1039"/>
      <c r="G27" s="1040"/>
      <c r="H27" s="1041"/>
      <c r="I27" s="1042"/>
      <c r="J27" s="1041"/>
      <c r="K27" s="1042"/>
      <c r="L27" s="1041"/>
      <c r="M27" s="1042"/>
      <c r="N27" s="1041"/>
      <c r="O27" s="1043"/>
      <c r="P27" s="1041"/>
      <c r="Q27" s="1042"/>
      <c r="R27" s="1041"/>
      <c r="S27" s="1042"/>
      <c r="T27" s="1041"/>
      <c r="U27" s="1043"/>
      <c r="V27" s="1041"/>
      <c r="W27" s="1043"/>
      <c r="X27" s="1044"/>
      <c r="Y27" s="1042"/>
      <c r="Z27" s="995"/>
      <c r="AA27" s="992"/>
      <c r="AB27" s="5" t="str">
        <f>CB27&amp;CC27&amp;CD27&amp;CE27</f>
        <v/>
      </c>
      <c r="CB27" s="142" t="str">
        <f>IF(AND($D27&gt;0,OR(X27=""))," * No olvide digitar la variable Pueblos Originarios Hombres. Digite Cero si no tiene.",IF(X27&gt;$D27," * La variable Pueblos Originarios Hombres no puede ser Mayor al Total Hombres.",""))</f>
        <v/>
      </c>
      <c r="CC27" s="142" t="str">
        <f t="shared" ref="CC27:CC28" si="11">IF(AND($E27&gt;0,OR(Y27=""))," * No olvide digitar la variable Pueblos Originarios Mujeres. Digite Cero si no tiene.",IF(Y27&gt;$E27," * La variable Pueblos Originarios Mujeres no puede ser Mayor al Total Mujeres.",""))</f>
        <v/>
      </c>
      <c r="CD27" s="142" t="str">
        <f>IF(AND($D27&gt;0,OR(Z27=""))," * No olvide digitar la variable Pueblos Originarios Hombres. Digite Cero si no tiene.",IF(Z27&gt;$D27," * La variable Pueblos Originarios Hombres no puede ser Mayor al Total Hombres.",""))</f>
        <v/>
      </c>
      <c r="CE27" s="142" t="str">
        <f t="shared" ref="CE27:CE28" si="12">IF(AND($E27&gt;0,OR(AA27=""))," * No olvide digitar la variable Migrantes Mujeres. Digite Cero si no tiene.",IF(AA27&gt;$E27," * La variable Migrantes Mujeres no puede ser Mayor al Total Mujeres.",""))</f>
        <v/>
      </c>
      <c r="CO27" s="34">
        <f t="shared" ref="CO27:CP28" si="13">IF(AND(D27&gt;0,OR(X27="")),1,IF(X27&gt;D27,1,0))</f>
        <v>0</v>
      </c>
      <c r="CP27" s="34">
        <f t="shared" si="13"/>
        <v>0</v>
      </c>
      <c r="CQ27" s="34">
        <f>IF(AND($D27&gt;0,OR(Z27="")),1,IF(Z27&gt;$D27,1,0))</f>
        <v>0</v>
      </c>
      <c r="CR27" s="34">
        <f>IF(AND($E27&gt;0,OR(AA27="")),1,IF(AA27&gt;$E27,1,0))</f>
        <v>0</v>
      </c>
    </row>
    <row r="28" spans="1:100" ht="15" customHeight="1">
      <c r="A28" s="2132" t="s">
        <v>561</v>
      </c>
      <c r="B28" s="2133"/>
      <c r="C28" s="1097"/>
      <c r="D28" s="1037">
        <f>H28+J28+L28+N28+P28+R28+T28+V28</f>
        <v>0</v>
      </c>
      <c r="E28" s="1038">
        <f>I28+K28+M28+O28+Q28+S28+U28+W28</f>
        <v>0</v>
      </c>
      <c r="F28" s="1045"/>
      <c r="G28" s="1046"/>
      <c r="H28" s="1010"/>
      <c r="I28" s="1011"/>
      <c r="J28" s="1010"/>
      <c r="K28" s="1011"/>
      <c r="L28" s="1010"/>
      <c r="M28" s="1011"/>
      <c r="N28" s="1010"/>
      <c r="O28" s="1012"/>
      <c r="P28" s="1010"/>
      <c r="Q28" s="1011"/>
      <c r="R28" s="1010"/>
      <c r="S28" s="1011"/>
      <c r="T28" s="1010"/>
      <c r="U28" s="1012"/>
      <c r="V28" s="1010"/>
      <c r="W28" s="1012"/>
      <c r="X28" s="1013"/>
      <c r="Y28" s="1011"/>
      <c r="Z28" s="1001"/>
      <c r="AA28" s="997"/>
      <c r="AB28" s="5" t="str">
        <f>CB28&amp;CC28&amp;CD28&amp;CE28</f>
        <v/>
      </c>
      <c r="CB28" s="142" t="str">
        <f>IF(AND($D28&gt;0,OR(X28=""))," * No olvide digitar la variable Pueblos Originarios Hombres. Digite Cero si no tiene.",IF(X28&gt;$D28," * La variable Pueblos Originarios Hombres no puede ser Mayor al Total Hombres.",""))</f>
        <v/>
      </c>
      <c r="CC28" s="142" t="str">
        <f t="shared" si="11"/>
        <v/>
      </c>
      <c r="CD28" s="142" t="str">
        <f>IF(AND($D28&gt;0,OR(Z28=""))," * No olvide digitar la variable Pueblos Originarios Hombres. Digite Cero si no tiene.",IF(Z28&gt;$D28," * La variable Pueblos Originarios Hombres no puede ser Mayor al Total Hombres.",""))</f>
        <v/>
      </c>
      <c r="CE28" s="142" t="str">
        <f t="shared" si="12"/>
        <v/>
      </c>
      <c r="CO28" s="34">
        <f t="shared" si="13"/>
        <v>0</v>
      </c>
      <c r="CP28" s="34">
        <f t="shared" si="13"/>
        <v>0</v>
      </c>
      <c r="CQ28" s="34">
        <f>IF(AND($D28&gt;0,OR(Z28="")),1,IF(Z28&gt;$D28,1,0))</f>
        <v>0</v>
      </c>
      <c r="CR28" s="34">
        <f>IF(AND($E28&gt;0,OR(AA28="")),1,IF(AA28&gt;$E28,1,0))</f>
        <v>0</v>
      </c>
    </row>
    <row r="29" spans="1:100" ht="15" customHeight="1">
      <c r="A29" s="2134" t="s">
        <v>546</v>
      </c>
      <c r="B29" s="2135"/>
      <c r="C29" s="1047">
        <f>SUM(D29:E29)</f>
        <v>0</v>
      </c>
      <c r="D29" s="1048">
        <f>+F29+H29+J29+L29+N29+P29+R29+T29+V29</f>
        <v>0</v>
      </c>
      <c r="E29" s="1049">
        <f>+G29+I29+K29+M29+O29+Q29+S29+U29+W29</f>
        <v>0</v>
      </c>
      <c r="F29" s="1004">
        <f>SUM(F26)</f>
        <v>0</v>
      </c>
      <c r="G29" s="1048">
        <f>SUM(G26)</f>
        <v>0</v>
      </c>
      <c r="H29" s="1004">
        <f>SUM(H26:H28)</f>
        <v>0</v>
      </c>
      <c r="I29" s="1003">
        <f t="shared" ref="I29:W29" si="14">SUM(I26:I28)</f>
        <v>0</v>
      </c>
      <c r="J29" s="1004">
        <f t="shared" si="14"/>
        <v>0</v>
      </c>
      <c r="K29" s="1003">
        <f t="shared" si="14"/>
        <v>0</v>
      </c>
      <c r="L29" s="1004">
        <f t="shared" si="14"/>
        <v>0</v>
      </c>
      <c r="M29" s="1003">
        <f t="shared" si="14"/>
        <v>0</v>
      </c>
      <c r="N29" s="1004">
        <f t="shared" si="14"/>
        <v>0</v>
      </c>
      <c r="O29" s="1005">
        <f t="shared" si="14"/>
        <v>0</v>
      </c>
      <c r="P29" s="1004">
        <f t="shared" si="14"/>
        <v>0</v>
      </c>
      <c r="Q29" s="1003">
        <f t="shared" si="14"/>
        <v>0</v>
      </c>
      <c r="R29" s="1004">
        <f t="shared" si="14"/>
        <v>0</v>
      </c>
      <c r="S29" s="1003">
        <f t="shared" si="14"/>
        <v>0</v>
      </c>
      <c r="T29" s="1004">
        <f t="shared" si="14"/>
        <v>0</v>
      </c>
      <c r="U29" s="1005">
        <f t="shared" si="14"/>
        <v>0</v>
      </c>
      <c r="V29" s="1004">
        <f t="shared" si="14"/>
        <v>0</v>
      </c>
      <c r="W29" s="1005">
        <f t="shared" si="14"/>
        <v>0</v>
      </c>
      <c r="X29" s="1006">
        <f>SUM(X26:X28)</f>
        <v>0</v>
      </c>
      <c r="Y29" s="1003">
        <f>SUM(Y26:Y28)</f>
        <v>0</v>
      </c>
      <c r="Z29" s="1048">
        <f>SUM(Z26:Z28)</f>
        <v>0</v>
      </c>
      <c r="AA29" s="1003">
        <f>SUM(AA26:AA28)</f>
        <v>0</v>
      </c>
      <c r="BC29" s="346"/>
      <c r="BD29" s="346"/>
      <c r="BE29" s="346"/>
      <c r="BF29" s="346"/>
      <c r="BG29" s="346"/>
      <c r="BH29" s="346"/>
      <c r="BI29" s="346"/>
      <c r="BJ29" s="346"/>
      <c r="BK29" s="346"/>
      <c r="BL29" s="346"/>
    </row>
    <row r="30" spans="1:100" s="31" customFormat="1" ht="17.149999999999999" customHeight="1">
      <c r="A30" s="1023" t="s">
        <v>547</v>
      </c>
      <c r="B30" s="1023"/>
      <c r="C30" s="1023"/>
      <c r="D30" s="1023"/>
      <c r="E30" s="1023"/>
      <c r="F30" s="1023"/>
      <c r="G30" s="1023"/>
      <c r="H30" s="972"/>
      <c r="L30" s="973"/>
      <c r="AB30" s="969"/>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row>
    <row r="31" spans="1:100" ht="23.25" customHeight="1">
      <c r="A31" s="2117" t="s">
        <v>548</v>
      </c>
      <c r="B31" s="2117"/>
      <c r="C31" s="2108" t="s">
        <v>5</v>
      </c>
      <c r="D31" s="2108"/>
      <c r="E31" s="2108"/>
      <c r="F31" s="2109" t="s">
        <v>354</v>
      </c>
      <c r="G31" s="2110"/>
      <c r="H31" s="2110"/>
      <c r="I31" s="2110"/>
      <c r="J31" s="2110"/>
      <c r="K31" s="2110"/>
      <c r="L31" s="2110"/>
      <c r="M31" s="2110"/>
      <c r="N31" s="2110"/>
      <c r="O31" s="2110"/>
      <c r="P31" s="2110"/>
      <c r="Q31" s="2110"/>
      <c r="R31" s="2110"/>
      <c r="S31" s="2110"/>
      <c r="T31" s="2110"/>
      <c r="U31" s="2111"/>
      <c r="V31" s="2099" t="s">
        <v>7</v>
      </c>
      <c r="W31" s="2099"/>
      <c r="X31" s="2100" t="s">
        <v>58</v>
      </c>
      <c r="Y31" s="2100"/>
      <c r="Z31" s="2100" t="s">
        <v>535</v>
      </c>
      <c r="AA31" s="2100"/>
      <c r="AZ31"/>
      <c r="BA31"/>
      <c r="CB31" s="559"/>
      <c r="CC31" s="559"/>
      <c r="CD31" s="559"/>
      <c r="CE31" s="559"/>
      <c r="CF31" s="559"/>
      <c r="CG31" s="559"/>
      <c r="CJ31" s="559"/>
      <c r="CK31" s="559"/>
      <c r="CL31" s="559"/>
      <c r="CM31" s="559"/>
      <c r="CO31" s="559"/>
      <c r="CP31" s="559"/>
      <c r="CQ31" s="559"/>
      <c r="CR31" s="559"/>
      <c r="CS31" s="559"/>
      <c r="CT31" s="559"/>
      <c r="CU31" s="559"/>
      <c r="CV31" s="2049"/>
    </row>
    <row r="32" spans="1:100" ht="15.75" customHeight="1">
      <c r="A32" s="2117"/>
      <c r="B32" s="2117"/>
      <c r="C32" s="2108"/>
      <c r="D32" s="2108"/>
      <c r="E32" s="2108"/>
      <c r="F32" s="2098" t="s">
        <v>23</v>
      </c>
      <c r="G32" s="2083"/>
      <c r="H32" s="2101" t="s">
        <v>358</v>
      </c>
      <c r="I32" s="2083"/>
      <c r="J32" s="2101" t="s">
        <v>359</v>
      </c>
      <c r="K32" s="2083"/>
      <c r="L32" s="2101" t="s">
        <v>537</v>
      </c>
      <c r="M32" s="2083"/>
      <c r="N32" s="2098" t="s">
        <v>538</v>
      </c>
      <c r="O32" s="2098"/>
      <c r="P32" s="2101" t="s">
        <v>539</v>
      </c>
      <c r="Q32" s="2098"/>
      <c r="R32" s="2101" t="s">
        <v>540</v>
      </c>
      <c r="S32" s="2083"/>
      <c r="T32" s="2098" t="s">
        <v>541</v>
      </c>
      <c r="U32" s="2098"/>
      <c r="V32" s="2099"/>
      <c r="W32" s="2099"/>
      <c r="X32" s="2100"/>
      <c r="Y32" s="2100"/>
      <c r="Z32" s="2100"/>
      <c r="AA32" s="2100"/>
      <c r="AZ32"/>
      <c r="BA32"/>
      <c r="CB32" s="559"/>
      <c r="CC32" s="559"/>
      <c r="CD32" s="559"/>
      <c r="CE32" s="559"/>
      <c r="CF32" s="559"/>
      <c r="CG32" s="559"/>
      <c r="CJ32" s="559"/>
      <c r="CK32" s="559"/>
      <c r="CL32" s="559"/>
      <c r="CM32" s="559"/>
      <c r="CO32" s="559"/>
      <c r="CP32" s="559"/>
      <c r="CQ32" s="559"/>
      <c r="CR32" s="559"/>
      <c r="CS32" s="559"/>
      <c r="CT32" s="559"/>
      <c r="CU32" s="559"/>
      <c r="CV32" s="2049"/>
    </row>
    <row r="33" spans="1:100" ht="20">
      <c r="A33" s="2117"/>
      <c r="B33" s="2117"/>
      <c r="C33" s="1027" t="s">
        <v>361</v>
      </c>
      <c r="D33" s="1050" t="s">
        <v>42</v>
      </c>
      <c r="E33" s="1051" t="s">
        <v>179</v>
      </c>
      <c r="F33" s="1052" t="s">
        <v>362</v>
      </c>
      <c r="G33" s="691" t="s">
        <v>179</v>
      </c>
      <c r="H33" s="690" t="s">
        <v>362</v>
      </c>
      <c r="I33" s="691" t="s">
        <v>179</v>
      </c>
      <c r="J33" s="690" t="s">
        <v>362</v>
      </c>
      <c r="K33" s="691" t="s">
        <v>179</v>
      </c>
      <c r="L33" s="1053" t="s">
        <v>42</v>
      </c>
      <c r="M33" s="978" t="s">
        <v>179</v>
      </c>
      <c r="N33" s="1052" t="s">
        <v>362</v>
      </c>
      <c r="O33" s="691" t="s">
        <v>179</v>
      </c>
      <c r="P33" s="1052" t="s">
        <v>362</v>
      </c>
      <c r="Q33" s="691" t="s">
        <v>179</v>
      </c>
      <c r="R33" s="1053" t="s">
        <v>42</v>
      </c>
      <c r="S33" s="978" t="s">
        <v>179</v>
      </c>
      <c r="T33" s="1028" t="s">
        <v>42</v>
      </c>
      <c r="U33" s="1054" t="s">
        <v>179</v>
      </c>
      <c r="V33" s="364" t="s">
        <v>42</v>
      </c>
      <c r="W33" s="1030" t="s">
        <v>179</v>
      </c>
      <c r="X33" s="1031" t="s">
        <v>42</v>
      </c>
      <c r="Y33" s="1030" t="s">
        <v>179</v>
      </c>
      <c r="Z33" s="1031" t="s">
        <v>42</v>
      </c>
      <c r="AA33" s="1030" t="s">
        <v>179</v>
      </c>
      <c r="AZ33"/>
      <c r="BA33"/>
      <c r="CB33" s="20"/>
      <c r="CC33" s="20"/>
      <c r="CD33" s="20"/>
      <c r="CE33" s="20"/>
      <c r="CF33" s="894"/>
      <c r="CG33" s="894"/>
      <c r="CJ33" s="894"/>
      <c r="CK33" s="894"/>
      <c r="CL33" s="894"/>
      <c r="CM33" s="894"/>
      <c r="CO33" s="20"/>
      <c r="CP33" s="20"/>
      <c r="CQ33" s="20"/>
      <c r="CR33" s="20"/>
      <c r="CS33" s="894"/>
      <c r="CT33" s="894"/>
      <c r="CU33" s="894"/>
      <c r="CV33" s="894"/>
    </row>
    <row r="34" spans="1:100" ht="15" customHeight="1">
      <c r="A34" s="2118" t="s">
        <v>153</v>
      </c>
      <c r="B34" s="2119"/>
      <c r="C34" s="980">
        <f>SUM(D34:E34)</f>
        <v>0</v>
      </c>
      <c r="D34" s="1055">
        <f>+F34+H34+J34+L34+N34+P34+R34+T34</f>
        <v>0</v>
      </c>
      <c r="E34" s="1056">
        <f>+G34+I34+K34+M34+O34+Q34+S34+U34</f>
        <v>0</v>
      </c>
      <c r="F34" s="1033"/>
      <c r="G34" s="1035"/>
      <c r="H34" s="1033"/>
      <c r="I34" s="1034"/>
      <c r="J34" s="1033"/>
      <c r="K34" s="1034"/>
      <c r="L34" s="1057"/>
      <c r="M34" s="1034"/>
      <c r="N34" s="1057"/>
      <c r="O34" s="1034"/>
      <c r="P34" s="1057"/>
      <c r="Q34" s="1034"/>
      <c r="R34" s="1057"/>
      <c r="S34" s="1034"/>
      <c r="T34" s="1057"/>
      <c r="U34" s="1058"/>
      <c r="V34" s="1036"/>
      <c r="W34" s="1059"/>
      <c r="X34" s="1057"/>
      <c r="Y34" s="1034"/>
      <c r="Z34" s="1057"/>
      <c r="AA34" s="1034"/>
      <c r="AB34" s="5" t="str">
        <f>CB34&amp;CC34&amp;CD34&amp;CE34&amp;CF34&amp;CG34</f>
        <v/>
      </c>
      <c r="AZ34"/>
      <c r="BA34"/>
      <c r="CB34" s="142" t="str">
        <f>IF(AND($D34&gt;0,OR(V34=""))," * No olvide digitar la variable Pueblos Originarios Hombres. Digite Cero si no tiene.",IF(V34&gt;$D34," * La variable Pueblos Originarios Hombres no puede ser Mayor al Total Hombres.",""))</f>
        <v/>
      </c>
      <c r="CC34" s="142" t="str">
        <f>IF(AND($E34&gt;0,OR(W34=""))," * No olvide digitar la variable Pueblos Originarios Mujeres. Digite Cero si no tiene.",IF(W34&gt;$E34," * La variable Pueblos Originarios Mujeres no puede ser Mayor al Total Mujeres.",""))</f>
        <v/>
      </c>
      <c r="CD34" s="142" t="str">
        <f>IF(AND($D34&gt;0,OR(X34=""))," * No olvide digitar la variable Migrantes Hombres. Digite Cero si no tiene.",IF(X34&gt;$D34," * La variable Migrantes Hombres no puede ser Mayor al Total Hombres.",""))</f>
        <v/>
      </c>
      <c r="CE34" s="142" t="str">
        <f>IF(AND($E34&gt;0,OR(Y34=""))," * No olvide digitar la variable Migrantes Mujeres. Digite Cero si no tiene.",IF(Y34&gt;$E34," * La variable Migrantes Mujeres no puede ser Mayor al Total Mujeres.",""))</f>
        <v/>
      </c>
      <c r="CF34" s="142" t="str">
        <f>IF(AND($D34&gt;0,OR(Z34=""))," * No olvide digitar la variable Personas Mayores en ELEAM Hombres. Digite Cero si no tiene.",IF(Z34&gt;$D34," * La variable Personas Mayores en ELEAM Hombres no puede ser Mayor al Total Hombres.",""))</f>
        <v/>
      </c>
      <c r="CG34" s="142" t="str">
        <f>IF(AND($E34&gt;0,OR(AA34=""))," * No olvide digitar la variable Personas Mayores en ELEAM Mujeres. Digite Cero si no tiene.",IF(AA34&gt;$E34," * La variable Personas Mayores en ELEAM Mujeres no puede ser Mayor al Total Mujeres.",""))</f>
        <v/>
      </c>
      <c r="CO34" s="34">
        <f t="shared" ref="CO34:CP37" si="15">IF(AND(D34&gt;0,OR(V34="")),1,IF(V34&gt;D34,1,0))</f>
        <v>0</v>
      </c>
      <c r="CP34" s="34">
        <f t="shared" si="15"/>
        <v>0</v>
      </c>
      <c r="CQ34" s="34">
        <f>IF(AND($D34&gt;0,OR(X34="")),1,IF(X34&gt;$D34,1,0))</f>
        <v>0</v>
      </c>
      <c r="CR34" s="34">
        <f>IF(AND($E34&gt;0,OR(Y34="")),1,IF(Y34&gt;$E34,1,0))</f>
        <v>0</v>
      </c>
      <c r="CS34" s="34">
        <f>IF(AND($D34&gt;0,OR(Z34="")),1,IF(Z34&gt;$D34,1,0))</f>
        <v>0</v>
      </c>
      <c r="CT34" s="34">
        <f>IF(AND($E34&gt;0,OR(AA34="")),1,IF(AA34&gt;$E34,1,0))</f>
        <v>0</v>
      </c>
    </row>
    <row r="35" spans="1:100" ht="15" customHeight="1">
      <c r="A35" s="2120" t="s">
        <v>152</v>
      </c>
      <c r="B35" s="2121"/>
      <c r="C35" s="988">
        <f>SUM(D35:E35)</f>
        <v>0</v>
      </c>
      <c r="D35" s="1060">
        <f t="shared" ref="D35:E37" si="16">+F35+H35+J35+L35+N35+P35+R35+T35</f>
        <v>0</v>
      </c>
      <c r="E35" s="1007">
        <f t="shared" si="16"/>
        <v>0</v>
      </c>
      <c r="F35" s="1041"/>
      <c r="G35" s="1043"/>
      <c r="H35" s="1041"/>
      <c r="I35" s="1042"/>
      <c r="J35" s="1041"/>
      <c r="K35" s="1042"/>
      <c r="L35" s="1061"/>
      <c r="M35" s="1042"/>
      <c r="N35" s="1061"/>
      <c r="O35" s="1042"/>
      <c r="P35" s="1061"/>
      <c r="Q35" s="1042"/>
      <c r="R35" s="1061"/>
      <c r="S35" s="1042"/>
      <c r="T35" s="1061"/>
      <c r="U35" s="1062"/>
      <c r="V35" s="1044"/>
      <c r="W35" s="1063"/>
      <c r="X35" s="1061"/>
      <c r="Y35" s="1042"/>
      <c r="Z35" s="1061"/>
      <c r="AA35" s="1042"/>
      <c r="AB35" s="5" t="str">
        <f>CB35&amp;CC35&amp;CD35&amp;CE35&amp;CF35&amp;CG35</f>
        <v/>
      </c>
      <c r="AZ35"/>
      <c r="BA35"/>
      <c r="CB35" s="142" t="str">
        <f>IF(AND($D35&gt;0,OR(V35=""))," * No olvide digitar la variable Pueblos Originarios Hombres. Digite Cero si no tiene.",IF(V35&gt;$D35," * La variable Pueblos Originarios Hombres no puede ser Mayor al Total Hombres.",""))</f>
        <v/>
      </c>
      <c r="CC35" s="142" t="str">
        <f>IF(AND($E35&gt;0,OR(W35=""))," * No olvide digitar la variable Pueblos Originarios Mujeres. Digite Cero si no tiene.",IF(W35&gt;$E35," * La variable Pueblos Originarios Mujeres no puede ser Mayor al Total Mujeres.",""))</f>
        <v/>
      </c>
      <c r="CD35" s="142" t="str">
        <f>IF(AND($D35&gt;0,OR(X35=""))," * No olvide digitar la variable Migrantes Hombres. Digite Cero si no tiene.",IF(X35&gt;$D35," * La variable Migrantes Hombres no puede ser Mayor al Total Hombres.",""))</f>
        <v/>
      </c>
      <c r="CE35" s="142" t="str">
        <f>IF(AND($E35&gt;0,OR(Y35=""))," * No olvide digitar la variable Migrantes Mujeres. Digite Cero si no tiene.",IF(Y35&gt;$E35," * La variable Migrantes Mujeres no puede ser Mayor al Total Mujeres.",""))</f>
        <v/>
      </c>
      <c r="CF35" s="142" t="str">
        <f>IF(AND($D35&gt;0,OR(Z35=""))," * No olvide digitar la variable Personas Mayores en ELEAM Hombres. Digite Cero si no tiene.",IF(Z35&gt;$D35," * La variable Personas Mayores en ELEAM Hombres no puede ser Mayor al Total Hombres.",""))</f>
        <v/>
      </c>
      <c r="CG35" s="142" t="str">
        <f>IF(AND($E35&gt;0,OR(AA35=""))," * No olvide digitar la variable Personas Mayores en ELEAM Mujeres. Digite Cero si no tiene.",IF(AA35&gt;$E35," * La variable Personas Mayores en ELEAM Mujeres no puede ser Mayor al Total Mujeres.",""))</f>
        <v/>
      </c>
      <c r="CO35" s="34">
        <f t="shared" si="15"/>
        <v>0</v>
      </c>
      <c r="CP35" s="34">
        <f t="shared" si="15"/>
        <v>0</v>
      </c>
      <c r="CQ35" s="34">
        <f>IF(AND($D35&gt;0,OR(X35="")),1,IF(X35&gt;$D35,1,0))</f>
        <v>0</v>
      </c>
      <c r="CR35" s="34">
        <f>IF(AND($E35&gt;0,OR(Y35="")),1,IF(Y35&gt;$E35,1,0))</f>
        <v>0</v>
      </c>
      <c r="CS35" s="34">
        <f>IF(AND($D35&gt;0,OR(Z35="")),1,IF(Z35&gt;$D35,1,0))</f>
        <v>0</v>
      </c>
      <c r="CT35" s="34">
        <f>IF(AND($E35&gt;0,OR(AA35="")),1,IF(AA35&gt;$E35,1,0))</f>
        <v>0</v>
      </c>
    </row>
    <row r="36" spans="1:100" ht="15" customHeight="1">
      <c r="A36" s="2120" t="s">
        <v>151</v>
      </c>
      <c r="B36" s="2121"/>
      <c r="C36" s="988">
        <f>SUM(D36:E36)</f>
        <v>0</v>
      </c>
      <c r="D36" s="1060">
        <f t="shared" si="16"/>
        <v>0</v>
      </c>
      <c r="E36" s="1007">
        <f t="shared" si="16"/>
        <v>0</v>
      </c>
      <c r="F36" s="1041"/>
      <c r="G36" s="1043"/>
      <c r="H36" s="1041"/>
      <c r="I36" s="1042"/>
      <c r="J36" s="1041"/>
      <c r="K36" s="1042"/>
      <c r="L36" s="1061"/>
      <c r="M36" s="1042"/>
      <c r="N36" s="1061"/>
      <c r="O36" s="1042"/>
      <c r="P36" s="1061"/>
      <c r="Q36" s="1042"/>
      <c r="R36" s="1061"/>
      <c r="S36" s="1042"/>
      <c r="T36" s="1061"/>
      <c r="U36" s="1062"/>
      <c r="V36" s="1044"/>
      <c r="W36" s="1063"/>
      <c r="X36" s="1061"/>
      <c r="Y36" s="1042"/>
      <c r="Z36" s="1061"/>
      <c r="AA36" s="1042"/>
      <c r="AB36" s="5" t="str">
        <f>CB36&amp;CC36&amp;CD36&amp;CE36&amp;CF36&amp;CG36</f>
        <v/>
      </c>
      <c r="AZ36"/>
      <c r="BA36"/>
      <c r="CB36" s="142" t="str">
        <f>IF(AND($D36&gt;0,OR(V36=""))," * No olvide digitar la variable Pueblos Originarios Hombres. Digite Cero si no tiene.",IF(V36&gt;$D36," * La variable Pueblos Originarios Hombres no puede ser Mayor al Total Hombres.",""))</f>
        <v/>
      </c>
      <c r="CC36" s="142" t="str">
        <f>IF(AND($E36&gt;0,OR(W36=""))," * No olvide digitar la variable Pueblos Originarios Mujeres. Digite Cero si no tiene.",IF(W36&gt;$E36," * La variable Pueblos Originarios Mujeres no puede ser Mayor al Total Mujeres.",""))</f>
        <v/>
      </c>
      <c r="CD36" s="142" t="str">
        <f>IF(AND($D36&gt;0,OR(X36=""))," * No olvide digitar la variable Migrantes Hombres. Digite Cero si no tiene.",IF(X36&gt;$D36," * La variable Migrantes Hombres no puede ser Mayor al Total Hombres.",""))</f>
        <v/>
      </c>
      <c r="CE36" s="142" t="str">
        <f>IF(AND($E36&gt;0,OR(Y36=""))," * No olvide digitar la variable Migrantes Mujeres. Digite Cero si no tiene.",IF(Y36&gt;$E36," * La variable Migrantes Mujeres no puede ser Mayor al Total Mujeres.",""))</f>
        <v/>
      </c>
      <c r="CF36" s="142" t="str">
        <f>IF(AND($D36&gt;0,OR(Z36=""))," * No olvide digitar la variable Personas Mayores en ELEAM Hombres. Digite Cero si no tiene.",IF(Z36&gt;$D36," * La variable Personas Mayores en ELEAM Hombres no puede ser Mayor al Total Hombres.",""))</f>
        <v/>
      </c>
      <c r="CG36" s="142" t="str">
        <f>IF(AND($E36&gt;0,OR(AA36=""))," * No olvide digitar la variable Personas Mayores en ELEAM Mujeres. Digite Cero si no tiene.",IF(AA36&gt;$E36," * La variable Personas Mayores en ELEAM Mujeres no puede ser Mayor al Total Mujeres.",""))</f>
        <v/>
      </c>
      <c r="CO36" s="34">
        <f t="shared" si="15"/>
        <v>0</v>
      </c>
      <c r="CP36" s="34">
        <f t="shared" si="15"/>
        <v>0</v>
      </c>
      <c r="CQ36" s="34">
        <f>IF(AND($D36&gt;0,OR(X36="")),1,IF(X36&gt;$D36,1,0))</f>
        <v>0</v>
      </c>
      <c r="CR36" s="34">
        <f>IF(AND($E36&gt;0,OR(Y36="")),1,IF(Y36&gt;$E36,1,0))</f>
        <v>0</v>
      </c>
      <c r="CS36" s="34">
        <f>IF(AND($D36&gt;0,OR(Z36="")),1,IF(Z36&gt;$D36,1,0))</f>
        <v>0</v>
      </c>
      <c r="CT36" s="34">
        <f>IF(AND($E36&gt;0,OR(AA36="")),1,IF(AA36&gt;$E36,1,0))</f>
        <v>0</v>
      </c>
    </row>
    <row r="37" spans="1:100" ht="15" customHeight="1">
      <c r="A37" s="2122" t="s">
        <v>193</v>
      </c>
      <c r="B37" s="2123"/>
      <c r="C37" s="1064">
        <f>SUM(D37:E37)</f>
        <v>0</v>
      </c>
      <c r="D37" s="1065">
        <f t="shared" si="16"/>
        <v>0</v>
      </c>
      <c r="E37" s="1066">
        <f t="shared" si="16"/>
        <v>0</v>
      </c>
      <c r="F37" s="1010"/>
      <c r="G37" s="1012"/>
      <c r="H37" s="1010"/>
      <c r="I37" s="1011"/>
      <c r="J37" s="1010"/>
      <c r="K37" s="1011"/>
      <c r="L37" s="1014"/>
      <c r="M37" s="1011"/>
      <c r="N37" s="1014"/>
      <c r="O37" s="1011"/>
      <c r="P37" s="1014"/>
      <c r="Q37" s="1011"/>
      <c r="R37" s="1014"/>
      <c r="S37" s="1011"/>
      <c r="T37" s="1014"/>
      <c r="U37" s="1067"/>
      <c r="V37" s="1013"/>
      <c r="W37" s="1068"/>
      <c r="X37" s="1014"/>
      <c r="Y37" s="1011"/>
      <c r="Z37" s="1014"/>
      <c r="AA37" s="1011"/>
      <c r="AB37" s="5" t="str">
        <f>CB37&amp;CC37&amp;CD37&amp;CE37&amp;CF37&amp;CG37</f>
        <v/>
      </c>
      <c r="AZ37"/>
      <c r="BA37"/>
      <c r="CB37" s="142" t="str">
        <f>IF(AND($D37&gt;0,OR(V37=""))," * No olvide digitar la variable Pueblos Originarios Hombres. Digite Cero si no tiene.",IF(V37&gt;$D37," * La variable Pueblos Originarios Hombres no puede ser Mayor al Total Hombres.",""))</f>
        <v/>
      </c>
      <c r="CC37" s="142" t="str">
        <f>IF(AND($E37&gt;0,OR(W37=""))," * No olvide digitar la variable Pueblos Originarios Mujeres. Digite Cero si no tiene.",IF(W37&gt;$E37," * La variable Pueblos Originarios Mujeres no puede ser Mayor al Total Mujeres.",""))</f>
        <v/>
      </c>
      <c r="CD37" s="142" t="str">
        <f>IF(AND($D37&gt;0,OR(X37=""))," * No olvide digitar la variable Migrantes Hombres. Digite Cero si no tiene.",IF(X37&gt;$D37," * La variable Migrantes Hombres no puede ser Mayor al Total Hombres.",""))</f>
        <v/>
      </c>
      <c r="CE37" s="142" t="str">
        <f>IF(AND($E37&gt;0,OR(Y37=""))," * No olvide digitar la variable Migrantes Mujeres. Digite Cero si no tiene.",IF(Y37&gt;$E37," * La variable Migrantes Mujeres no puede ser Mayor al Total Mujeres.",""))</f>
        <v/>
      </c>
      <c r="CF37" s="142" t="str">
        <f>IF(AND($D37&gt;0,OR(Z37=""))," * No olvide digitar la variable Personas Mayores en ELEAM Hombres. Digite Cero si no tiene.",IF(Z37&gt;$D37," * La variable Personas Mayores en ELEAM Hombres no puede ser Mayor al Total Hombres.",""))</f>
        <v/>
      </c>
      <c r="CG37" s="142" t="str">
        <f>IF(AND($E37&gt;0,OR(AA37=""))," * No olvide digitar la variable Personas Mayores en ELEAM Mujeres. Digite Cero si no tiene.",IF(AA37&gt;$E37," * La variable Personas Mayores en ELEAM Mujeres no puede ser Mayor al Total Mujeres.",""))</f>
        <v/>
      </c>
      <c r="CO37" s="34">
        <f t="shared" si="15"/>
        <v>0</v>
      </c>
      <c r="CP37" s="34">
        <f t="shared" si="15"/>
        <v>0</v>
      </c>
      <c r="CQ37" s="34">
        <f>IF(AND($D37&gt;0,OR(X37="")),1,IF(X37&gt;$D37,1,0))</f>
        <v>0</v>
      </c>
      <c r="CR37" s="34">
        <f>IF(AND($E37&gt;0,OR(Y37="")),1,IF(Y37&gt;$E37,1,0))</f>
        <v>0</v>
      </c>
      <c r="CS37" s="34">
        <f>IF(AND($D37&gt;0,OR(Z37="")),1,IF(Z37&gt;$D37,1,0))</f>
        <v>0</v>
      </c>
      <c r="CT37" s="34">
        <f>IF(AND($E37&gt;0,OR(AA37="")),1,IF(AA37&gt;$E37,1,0))</f>
        <v>0</v>
      </c>
    </row>
    <row r="38" spans="1:100" ht="15" customHeight="1">
      <c r="A38" s="2124" t="s">
        <v>334</v>
      </c>
      <c r="B38" s="2125"/>
      <c r="C38" s="1047">
        <f>SUM(D38:E38)</f>
        <v>0</v>
      </c>
      <c r="D38" s="1069">
        <f>+F38+H38+J38+L38+N38+P38+R38+T38</f>
        <v>0</v>
      </c>
      <c r="E38" s="1021">
        <f>+G38+I38+K38+M38+O38+Q38+S38+U38</f>
        <v>0</v>
      </c>
      <c r="F38" s="1069">
        <f>SUM(F34:F37)</f>
        <v>0</v>
      </c>
      <c r="G38" s="1021">
        <f t="shared" ref="G38:AA38" si="17">SUM(G34:G37)</f>
        <v>0</v>
      </c>
      <c r="H38" s="1016">
        <f t="shared" si="17"/>
        <v>0</v>
      </c>
      <c r="I38" s="1021">
        <f t="shared" si="17"/>
        <v>0</v>
      </c>
      <c r="J38" s="1016">
        <f t="shared" si="17"/>
        <v>0</v>
      </c>
      <c r="K38" s="1021">
        <f t="shared" si="17"/>
        <v>0</v>
      </c>
      <c r="L38" s="1016">
        <f t="shared" si="17"/>
        <v>0</v>
      </c>
      <c r="M38" s="1021">
        <f t="shared" si="17"/>
        <v>0</v>
      </c>
      <c r="N38" s="1069">
        <f t="shared" si="17"/>
        <v>0</v>
      </c>
      <c r="O38" s="1021">
        <f t="shared" si="17"/>
        <v>0</v>
      </c>
      <c r="P38" s="1069">
        <f t="shared" si="17"/>
        <v>0</v>
      </c>
      <c r="Q38" s="1021">
        <f t="shared" si="17"/>
        <v>0</v>
      </c>
      <c r="R38" s="1016">
        <f t="shared" si="17"/>
        <v>0</v>
      </c>
      <c r="S38" s="1021">
        <f t="shared" si="17"/>
        <v>0</v>
      </c>
      <c r="T38" s="1069">
        <f t="shared" si="17"/>
        <v>0</v>
      </c>
      <c r="U38" s="1070">
        <f t="shared" si="17"/>
        <v>0</v>
      </c>
      <c r="V38" s="1020">
        <f>SUM(V34:V37)</f>
        <v>0</v>
      </c>
      <c r="W38" s="1021">
        <f>SUM(W34:W37)</f>
        <v>0</v>
      </c>
      <c r="X38" s="1069">
        <f t="shared" si="17"/>
        <v>0</v>
      </c>
      <c r="Y38" s="1021">
        <f t="shared" si="17"/>
        <v>0</v>
      </c>
      <c r="Z38" s="1069">
        <f t="shared" si="17"/>
        <v>0</v>
      </c>
      <c r="AA38" s="1021">
        <f t="shared" si="17"/>
        <v>0</v>
      </c>
      <c r="AZ38"/>
      <c r="BA38"/>
      <c r="BC38" s="346"/>
      <c r="BD38" s="346"/>
      <c r="BE38" s="346"/>
      <c r="BF38" s="346"/>
      <c r="BG38" s="346"/>
      <c r="BH38" s="346"/>
      <c r="BI38" s="346"/>
      <c r="BJ38" s="346"/>
      <c r="BK38" s="346"/>
      <c r="BL38" s="346"/>
    </row>
    <row r="39" spans="1:100" s="31" customFormat="1" ht="17.149999999999999" customHeight="1">
      <c r="A39" s="2126" t="s">
        <v>550</v>
      </c>
      <c r="B39" s="2126"/>
      <c r="C39" s="2126"/>
      <c r="D39" s="2126"/>
      <c r="E39" s="2126"/>
      <c r="F39" s="2127"/>
      <c r="G39" s="2127"/>
      <c r="H39" s="1071"/>
      <c r="I39" s="1071"/>
      <c r="J39" s="1071"/>
      <c r="K39" s="1071"/>
      <c r="L39" s="973"/>
      <c r="AB39" s="969"/>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row>
    <row r="40" spans="1:100" ht="22.5" customHeight="1">
      <c r="A40" s="2117" t="s">
        <v>399</v>
      </c>
      <c r="B40" s="2117"/>
      <c r="C40" s="2108" t="s">
        <v>5</v>
      </c>
      <c r="D40" s="2108"/>
      <c r="E40" s="2108"/>
      <c r="F40" s="2109" t="s">
        <v>354</v>
      </c>
      <c r="G40" s="2110"/>
      <c r="H40" s="2110"/>
      <c r="I40" s="2110"/>
      <c r="J40" s="2110"/>
      <c r="K40" s="2110"/>
      <c r="L40" s="2110"/>
      <c r="M40" s="2110"/>
      <c r="N40" s="2110"/>
      <c r="O40" s="2110"/>
      <c r="P40" s="2110"/>
      <c r="Q40" s="2110"/>
      <c r="R40" s="2110"/>
      <c r="S40" s="2110"/>
      <c r="T40" s="2110"/>
      <c r="U40" s="2111"/>
      <c r="V40" s="2099" t="s">
        <v>7</v>
      </c>
      <c r="W40" s="2099"/>
      <c r="X40" s="2100" t="s">
        <v>58</v>
      </c>
      <c r="Y40" s="2100"/>
      <c r="Z40" s="2100" t="s">
        <v>535</v>
      </c>
      <c r="AA40" s="2100"/>
    </row>
    <row r="41" spans="1:100" ht="17.25" customHeight="1">
      <c r="A41" s="2117"/>
      <c r="B41" s="2117"/>
      <c r="C41" s="2108"/>
      <c r="D41" s="2108"/>
      <c r="E41" s="2108"/>
      <c r="F41" s="2101" t="s">
        <v>23</v>
      </c>
      <c r="G41" s="2083"/>
      <c r="H41" s="2101" t="s">
        <v>358</v>
      </c>
      <c r="I41" s="2083"/>
      <c r="J41" s="2101" t="s">
        <v>359</v>
      </c>
      <c r="K41" s="2083"/>
      <c r="L41" s="2101" t="s">
        <v>537</v>
      </c>
      <c r="M41" s="2083"/>
      <c r="N41" s="2098" t="s">
        <v>538</v>
      </c>
      <c r="O41" s="2098"/>
      <c r="P41" s="2101" t="s">
        <v>539</v>
      </c>
      <c r="Q41" s="2098"/>
      <c r="R41" s="2101" t="s">
        <v>540</v>
      </c>
      <c r="S41" s="2083"/>
      <c r="T41" s="2101" t="s">
        <v>541</v>
      </c>
      <c r="U41" s="2112"/>
      <c r="V41" s="2099"/>
      <c r="W41" s="2099"/>
      <c r="X41" s="2100"/>
      <c r="Y41" s="2100"/>
      <c r="Z41" s="2100"/>
      <c r="AA41" s="2100"/>
    </row>
    <row r="42" spans="1:100" ht="31.25" customHeight="1">
      <c r="A42" s="2117"/>
      <c r="B42" s="2117"/>
      <c r="C42" s="1027" t="s">
        <v>361</v>
      </c>
      <c r="D42" s="1050" t="s">
        <v>42</v>
      </c>
      <c r="E42" s="1072" t="s">
        <v>179</v>
      </c>
      <c r="F42" s="690" t="s">
        <v>362</v>
      </c>
      <c r="G42" s="691" t="s">
        <v>179</v>
      </c>
      <c r="H42" s="690" t="s">
        <v>362</v>
      </c>
      <c r="I42" s="691" t="s">
        <v>179</v>
      </c>
      <c r="J42" s="690" t="s">
        <v>362</v>
      </c>
      <c r="K42" s="691" t="s">
        <v>179</v>
      </c>
      <c r="L42" s="1053" t="s">
        <v>42</v>
      </c>
      <c r="M42" s="978" t="s">
        <v>179</v>
      </c>
      <c r="N42" s="1053" t="s">
        <v>42</v>
      </c>
      <c r="O42" s="978" t="s">
        <v>179</v>
      </c>
      <c r="P42" s="1053" t="s">
        <v>42</v>
      </c>
      <c r="Q42" s="978" t="s">
        <v>179</v>
      </c>
      <c r="R42" s="1053" t="s">
        <v>42</v>
      </c>
      <c r="S42" s="978" t="s">
        <v>179</v>
      </c>
      <c r="T42" s="1053" t="s">
        <v>42</v>
      </c>
      <c r="U42" s="1054" t="s">
        <v>179</v>
      </c>
      <c r="V42" s="1031" t="s">
        <v>42</v>
      </c>
      <c r="W42" s="1030" t="s">
        <v>179</v>
      </c>
      <c r="X42" s="1031" t="s">
        <v>42</v>
      </c>
      <c r="Y42" s="1030" t="s">
        <v>179</v>
      </c>
      <c r="Z42" s="1031" t="s">
        <v>42</v>
      </c>
      <c r="AA42" s="1030" t="s">
        <v>179</v>
      </c>
    </row>
    <row r="43" spans="1:100" ht="15" customHeight="1">
      <c r="A43" s="2113" t="s">
        <v>566</v>
      </c>
      <c r="B43" s="2114"/>
      <c r="C43" s="1047">
        <f>SUM(D43:E43)</f>
        <v>0</v>
      </c>
      <c r="D43" s="1069">
        <f>+F43+H43+J43+L43+N43+P43+R43+T43</f>
        <v>0</v>
      </c>
      <c r="E43" s="1073">
        <f>+G43+I43+K43+M43+O43+Q43+S43+U43</f>
        <v>0</v>
      </c>
      <c r="F43" s="1074"/>
      <c r="G43" s="1075"/>
      <c r="H43" s="1074"/>
      <c r="I43" s="1075"/>
      <c r="J43" s="1074"/>
      <c r="K43" s="1075"/>
      <c r="L43" s="1074"/>
      <c r="M43" s="1075"/>
      <c r="N43" s="1074"/>
      <c r="O43" s="1075"/>
      <c r="P43" s="1074"/>
      <c r="Q43" s="1075"/>
      <c r="R43" s="1074"/>
      <c r="S43" s="1075"/>
      <c r="T43" s="1074"/>
      <c r="U43" s="1076"/>
      <c r="V43" s="1077"/>
      <c r="W43" s="1075"/>
      <c r="X43" s="1074"/>
      <c r="Y43" s="1075"/>
      <c r="Z43" s="1074"/>
      <c r="AA43" s="1075"/>
      <c r="AB43" s="5" t="str">
        <f>CA43&amp;CB43&amp;CC43&amp;CD43&amp;CE43&amp;CF43&amp;CG43</f>
        <v/>
      </c>
      <c r="BC43" s="346"/>
      <c r="BD43" s="346"/>
      <c r="BE43" s="346"/>
      <c r="BF43" s="346"/>
      <c r="BG43" s="346"/>
      <c r="BH43" s="346"/>
      <c r="BI43" s="346"/>
      <c r="BJ43" s="346"/>
      <c r="BK43" s="346"/>
      <c r="BL43" s="346"/>
      <c r="CA43" s="142" t="str">
        <f>IF(C43&gt;C21,"* Total de personas mayores con sospecha de maltrato no puede ser mayor al Total de Personas Mayores en Control de la sección A. ","")</f>
        <v/>
      </c>
      <c r="CB43" s="142" t="str">
        <f>IF(AND($D43&gt;0,OR(V43=""))," * No olvide digitar la variable Pueblos Originarios Hombres. Digite Cero si no tiene.",IF(V43&gt;$D43," * La variable Pueblos Originarios Hombres no puede ser Mayor al Total Hombres.",""))</f>
        <v/>
      </c>
      <c r="CC43" s="142" t="str">
        <f>IF(AND($E43&gt;0,OR(W43=""))," * No olvide digitar la variable Pueblos Originarios Mujeres. Digite Cero si no tiene.",IF(W43&gt;$E43," * La variable Pueblos Originarios Mujeres no puede ser Mayor al Total Mujeres.",""))</f>
        <v/>
      </c>
      <c r="CD43" s="142" t="str">
        <f>IF(AND($D43&gt;0,OR(X43=""))," * No olvide digitar la variable Migrantes Hombres. Digite Cero si no tiene.",IF(X43&gt;$D43," * La variable Migrantes Hombres no puede ser Mayor al Total Hombres.",""))</f>
        <v/>
      </c>
      <c r="CE43" s="142" t="str">
        <f>IF(AND($E43&gt;0,OR(Y43=""))," * No olvide digitar la variable Migrantes Mujeres. Digite Cero si no tiene.",IF(Y43&gt;$E43," * La variable Migrantes Mujeres no puede ser Mayor al Total Mujeres.",""))</f>
        <v/>
      </c>
      <c r="CF43" s="142" t="str">
        <f>IF(AND($D43&gt;0,OR(Z43=""))," * No olvide digitar la variable Personas Mayores en ELEAM Hombres. Digite Cero si no tiene.",IF(Z43&gt;$D43," * La variable Personas Mayores en ELEAM Hombres no puede ser Mayor al Total Hombres.",""))</f>
        <v/>
      </c>
      <c r="CG43" s="142" t="str">
        <f>IF(AND($E43&gt;0,OR(AA43=""))," * No olvide digitar la variable Personas Mayores en ELEAM Mujeres. Digite Cero si no tiene.",IF(AA43&gt;$E43," * La variable Personas Mayores en ELEAM Mujeres no puede ser Mayor al Total Mujeres.",""))</f>
        <v/>
      </c>
      <c r="CN43" s="34">
        <f>IF(C43&gt;C21,1,0)</f>
        <v>0</v>
      </c>
      <c r="CO43" s="34">
        <f>IF(AND(D43&gt;0,OR(V43="")),1,IF(V43&gt;D43,1,0))</f>
        <v>0</v>
      </c>
      <c r="CP43" s="34">
        <f>IF(AND(E43&gt;0,OR(W43="")),1,IF(W43&gt;E43,1,0))</f>
        <v>0</v>
      </c>
      <c r="CQ43" s="34">
        <f>IF(AND($D43&gt;0,OR(X43="")),1,IF(X43&gt;$D43,1,0))</f>
        <v>0</v>
      </c>
      <c r="CR43" s="34">
        <f>IF(AND($E43&gt;0,OR(Y43="")),1,IF(Y43&gt;$E43,1,0))</f>
        <v>0</v>
      </c>
      <c r="CS43" s="34">
        <f>IF(AND($D43&gt;0,OR(Z43="")),1,IF(Z43&gt;$D43,1,0))</f>
        <v>0</v>
      </c>
      <c r="CT43" s="34">
        <f>IF(AND($E43&gt;0,OR(AA43="")),1,IF(AA43&gt;$E43,1,0))</f>
        <v>0</v>
      </c>
    </row>
    <row r="44" spans="1:100" s="31" customFormat="1" ht="17.149999999999999" customHeight="1">
      <c r="A44" s="2115" t="s">
        <v>551</v>
      </c>
      <c r="B44" s="2115"/>
      <c r="C44" s="2115"/>
      <c r="D44" s="2115"/>
      <c r="E44" s="2115"/>
      <c r="F44" s="2116"/>
      <c r="G44" s="2116"/>
      <c r="H44" s="2116"/>
      <c r="I44" s="1071"/>
      <c r="J44" s="1071"/>
      <c r="K44" s="1071"/>
      <c r="L44" s="973"/>
      <c r="AB44" s="969"/>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row>
    <row r="45" spans="1:100" ht="20.25" customHeight="1">
      <c r="A45" s="2117" t="s">
        <v>399</v>
      </c>
      <c r="B45" s="2117"/>
      <c r="C45" s="2108" t="s">
        <v>5</v>
      </c>
      <c r="D45" s="2108"/>
      <c r="E45" s="2108"/>
      <c r="F45" s="2109" t="s">
        <v>354</v>
      </c>
      <c r="G45" s="2110"/>
      <c r="H45" s="2110"/>
      <c r="I45" s="2110"/>
      <c r="J45" s="2110"/>
      <c r="K45" s="2110"/>
      <c r="L45" s="2110"/>
      <c r="M45" s="2110"/>
      <c r="N45" s="2110"/>
      <c r="O45" s="2110"/>
      <c r="P45" s="2110"/>
      <c r="Q45" s="2110"/>
      <c r="R45" s="2110"/>
      <c r="S45" s="2110"/>
      <c r="T45" s="2110"/>
      <c r="U45" s="2111"/>
      <c r="V45" s="2099" t="s">
        <v>7</v>
      </c>
      <c r="W45" s="2099"/>
      <c r="X45" s="2100" t="s">
        <v>58</v>
      </c>
      <c r="Y45" s="2100"/>
      <c r="Z45" s="2100" t="s">
        <v>535</v>
      </c>
      <c r="AA45" s="2100"/>
    </row>
    <row r="46" spans="1:100" ht="19.5" customHeight="1">
      <c r="A46" s="2117"/>
      <c r="B46" s="2117"/>
      <c r="C46" s="2108"/>
      <c r="D46" s="2108"/>
      <c r="E46" s="2108"/>
      <c r="F46" s="2101" t="s">
        <v>23</v>
      </c>
      <c r="G46" s="2083"/>
      <c r="H46" s="2101" t="s">
        <v>358</v>
      </c>
      <c r="I46" s="2083"/>
      <c r="J46" s="2101" t="s">
        <v>359</v>
      </c>
      <c r="K46" s="2083"/>
      <c r="L46" s="2101" t="s">
        <v>537</v>
      </c>
      <c r="M46" s="2083"/>
      <c r="N46" s="2098" t="s">
        <v>538</v>
      </c>
      <c r="O46" s="2098"/>
      <c r="P46" s="2101" t="s">
        <v>539</v>
      </c>
      <c r="Q46" s="2098"/>
      <c r="R46" s="2101" t="s">
        <v>540</v>
      </c>
      <c r="S46" s="2083"/>
      <c r="T46" s="2101" t="s">
        <v>541</v>
      </c>
      <c r="U46" s="2112"/>
      <c r="V46" s="2099"/>
      <c r="W46" s="2099"/>
      <c r="X46" s="2100"/>
      <c r="Y46" s="2100"/>
      <c r="Z46" s="2100"/>
      <c r="AA46" s="2100"/>
    </row>
    <row r="47" spans="1:100" ht="20">
      <c r="A47" s="2117"/>
      <c r="B47" s="2117"/>
      <c r="C47" s="1027" t="s">
        <v>361</v>
      </c>
      <c r="D47" s="1050" t="s">
        <v>42</v>
      </c>
      <c r="E47" s="1051" t="s">
        <v>179</v>
      </c>
      <c r="F47" s="690" t="s">
        <v>362</v>
      </c>
      <c r="G47" s="691" t="s">
        <v>179</v>
      </c>
      <c r="H47" s="690" t="s">
        <v>362</v>
      </c>
      <c r="I47" s="691" t="s">
        <v>179</v>
      </c>
      <c r="J47" s="690" t="s">
        <v>362</v>
      </c>
      <c r="K47" s="691" t="s">
        <v>179</v>
      </c>
      <c r="L47" s="1053" t="s">
        <v>42</v>
      </c>
      <c r="M47" s="978" t="s">
        <v>179</v>
      </c>
      <c r="N47" s="1053" t="s">
        <v>42</v>
      </c>
      <c r="O47" s="978" t="s">
        <v>179</v>
      </c>
      <c r="P47" s="1053" t="s">
        <v>42</v>
      </c>
      <c r="Q47" s="978" t="s">
        <v>179</v>
      </c>
      <c r="R47" s="1053" t="s">
        <v>42</v>
      </c>
      <c r="S47" s="978" t="s">
        <v>179</v>
      </c>
      <c r="T47" s="1053" t="s">
        <v>42</v>
      </c>
      <c r="U47" s="1054" t="s">
        <v>179</v>
      </c>
      <c r="V47" s="1031" t="s">
        <v>42</v>
      </c>
      <c r="W47" s="1030" t="s">
        <v>179</v>
      </c>
      <c r="X47" s="1031" t="s">
        <v>42</v>
      </c>
      <c r="Y47" s="1030" t="s">
        <v>179</v>
      </c>
      <c r="Z47" s="1031" t="s">
        <v>42</v>
      </c>
      <c r="AA47" s="1030" t="s">
        <v>179</v>
      </c>
    </row>
    <row r="48" spans="1:100" ht="15" customHeight="1">
      <c r="A48" s="2102" t="s">
        <v>567</v>
      </c>
      <c r="B48" s="2103"/>
      <c r="C48" s="1047">
        <f>SUM(D48:E48)</f>
        <v>0</v>
      </c>
      <c r="D48" s="1069">
        <f>+F48+H48+J48+L48+N48+P48+R48+T48</f>
        <v>0</v>
      </c>
      <c r="E48" s="1021">
        <f>+G48+I48+K48+M48+O48+Q48+S48+U48</f>
        <v>0</v>
      </c>
      <c r="F48" s="1074"/>
      <c r="G48" s="1075"/>
      <c r="H48" s="1074"/>
      <c r="I48" s="1075"/>
      <c r="J48" s="1074"/>
      <c r="K48" s="1075"/>
      <c r="L48" s="1074"/>
      <c r="M48" s="1075"/>
      <c r="N48" s="1074"/>
      <c r="O48" s="1075"/>
      <c r="P48" s="1074"/>
      <c r="Q48" s="1075"/>
      <c r="R48" s="1074"/>
      <c r="S48" s="1075"/>
      <c r="T48" s="1074"/>
      <c r="U48" s="1076"/>
      <c r="V48" s="1077"/>
      <c r="W48" s="1075"/>
      <c r="X48" s="1074"/>
      <c r="Y48" s="1075"/>
      <c r="Z48" s="1074"/>
      <c r="AA48" s="1075"/>
      <c r="AB48" s="5" t="str">
        <f>CA48&amp;CB48&amp;CC48&amp;CD48&amp;CE48&amp;CF48&amp;CG48</f>
        <v/>
      </c>
      <c r="BC48" s="346"/>
      <c r="BD48" s="346"/>
      <c r="BE48" s="346"/>
      <c r="BF48" s="346"/>
      <c r="BG48" s="346"/>
      <c r="BH48" s="346"/>
      <c r="BI48" s="346"/>
      <c r="BJ48" s="346"/>
      <c r="BK48" s="346"/>
      <c r="BL48" s="346"/>
      <c r="CA48" s="142" t="str">
        <f>IF($C$48&lt;=$C$15,"","* Los Adultos Mayores en actividad física no pueden ser mayor que el SUBTOTAL (EFAM) de Autovalentes sin/con Riesgo y Riesgo de Dependencia de la Sección A. ")</f>
        <v/>
      </c>
      <c r="CB48" s="142" t="str">
        <f>IF(AND($D48&gt;0,OR(V48=""))," * No olvide digitar la variable Pueblos Originarios Hombres. Digite Cero si no tiene.",IF(V48&gt;$D48," * La variable Pueblos Originarios Hombres no puede ser Mayor al Total Hombres.",""))</f>
        <v/>
      </c>
      <c r="CC48" s="142" t="str">
        <f>IF(AND($E48&gt;0,OR(W48=""))," * No olvide digitar la variable Pueblos Originarios Mujeres. Digite Cero si no tiene.",IF(W48&gt;$E48," * La variable Pueblos Originarios Mujeres no puede ser Mayor al Total Mujeres.",""))</f>
        <v/>
      </c>
      <c r="CD48" s="142" t="str">
        <f>IF(AND($D48&gt;0,OR(X48=""))," * No olvide digitar la variable Migrantes Hombres. Digite Cero si no tiene.",IF(X48&gt;$D48," * La variable Migrantes Hombres no puede ser Mayor al Total Hombres.",""))</f>
        <v/>
      </c>
      <c r="CE48" s="142" t="str">
        <f>IF(AND($E48&gt;0,OR(Y48=""))," * No olvide digitar la variable Migrantes Mujeres. Digite Cero si no tiene.",IF(Y48&gt;$E48," * La variable Migrantes Mujeres no puede ser Mayor al Total Mujeres.",""))</f>
        <v/>
      </c>
      <c r="CF48" s="142" t="str">
        <f>IF(AND($D48&gt;0,OR(Z48=""))," * No olvide digitar la variable Personas Mayores en ELEAM Hombres. Digite Cero si no tiene.",IF(Z48&gt;$D48," * La variable Personas Mayores en ELEAM Hombres no puede ser Mayor al Total Hombres.",""))</f>
        <v/>
      </c>
      <c r="CG48" s="142" t="str">
        <f>IF(AND($E48&gt;0,OR(AA48=""))," * No olvide digitar la variable Personas Mayores en ELEAM Mujeres. Digite Cero si no tiene.",IF(AA48&gt;$E48," * La variable Personas Mayores en ELEAM Mujeres no puede ser Mayor al Total Mujeres.",""))</f>
        <v/>
      </c>
      <c r="CN48" s="34">
        <f>IF($C$48&lt;=$C$15,0,1)</f>
        <v>0</v>
      </c>
      <c r="CO48" s="34">
        <f>IF(AND(D48&gt;0,OR(V48="")),1,IF(V48&gt;D48,1,0))</f>
        <v>0</v>
      </c>
      <c r="CP48" s="34">
        <f>IF(AND(E48&gt;0,OR(W48="")),1,IF(W48&gt;E48,1,0))</f>
        <v>0</v>
      </c>
      <c r="CQ48" s="34">
        <f>IF(AND($D48&gt;0,OR(X48="")),1,IF(X48&gt;$D48,1,0))</f>
        <v>0</v>
      </c>
      <c r="CR48" s="34">
        <f>IF(AND($E48&gt;0,OR(Y48="")),1,IF(Y48&gt;$E48,1,0))</f>
        <v>0</v>
      </c>
      <c r="CS48" s="34">
        <f>IF(AND($D48&gt;0,OR(Z48="")),1,IF(Z48&gt;$D48,1,0))</f>
        <v>0</v>
      </c>
      <c r="CT48" s="34">
        <f>IF(AND($E48&gt;0,OR(AA48="")),1,IF(AA48&gt;$E48,1,0))</f>
        <v>0</v>
      </c>
    </row>
    <row r="49" spans="1:98" s="31" customFormat="1" ht="17.149999999999999" customHeight="1">
      <c r="A49" s="2104" t="s">
        <v>552</v>
      </c>
      <c r="B49" s="2104"/>
      <c r="C49" s="2104"/>
      <c r="D49" s="2104"/>
      <c r="E49" s="2104"/>
      <c r="F49" s="2104"/>
      <c r="G49" s="2104"/>
      <c r="H49" s="2104"/>
      <c r="I49" s="2104"/>
      <c r="AB49" s="969"/>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4"/>
      <c r="AY49" s="974"/>
    </row>
    <row r="50" spans="1:98" ht="25.5" customHeight="1">
      <c r="A50" s="2084" t="s">
        <v>553</v>
      </c>
      <c r="B50" s="2105" t="s">
        <v>554</v>
      </c>
      <c r="C50" s="2108" t="s">
        <v>5</v>
      </c>
      <c r="D50" s="2108"/>
      <c r="E50" s="2108"/>
      <c r="F50" s="2109" t="s">
        <v>354</v>
      </c>
      <c r="G50" s="2110"/>
      <c r="H50" s="2110"/>
      <c r="I50" s="2110"/>
      <c r="J50" s="2110"/>
      <c r="K50" s="2110"/>
      <c r="L50" s="2110"/>
      <c r="M50" s="2110"/>
      <c r="N50" s="2110"/>
      <c r="O50" s="2110"/>
      <c r="P50" s="2110"/>
      <c r="Q50" s="2110"/>
      <c r="R50" s="2110"/>
      <c r="S50" s="2110"/>
      <c r="T50" s="2110"/>
      <c r="U50" s="2111"/>
      <c r="V50" s="2099" t="s">
        <v>7</v>
      </c>
      <c r="W50" s="2099"/>
      <c r="X50" s="2100" t="s">
        <v>58</v>
      </c>
      <c r="Y50" s="2100"/>
      <c r="Z50" s="2100" t="s">
        <v>535</v>
      </c>
      <c r="AA50" s="2100"/>
    </row>
    <row r="51" spans="1:98" ht="15.75" customHeight="1">
      <c r="A51" s="1907"/>
      <c r="B51" s="2106"/>
      <c r="C51" s="2108"/>
      <c r="D51" s="2108"/>
      <c r="E51" s="2108"/>
      <c r="F51" s="2098" t="s">
        <v>23</v>
      </c>
      <c r="G51" s="2083"/>
      <c r="H51" s="2101" t="s">
        <v>358</v>
      </c>
      <c r="I51" s="2083"/>
      <c r="J51" s="2101" t="s">
        <v>359</v>
      </c>
      <c r="K51" s="2083"/>
      <c r="L51" s="2101" t="s">
        <v>537</v>
      </c>
      <c r="M51" s="2083"/>
      <c r="N51" s="2098" t="s">
        <v>538</v>
      </c>
      <c r="O51" s="2098"/>
      <c r="P51" s="2101" t="s">
        <v>539</v>
      </c>
      <c r="Q51" s="2098"/>
      <c r="R51" s="2101" t="s">
        <v>540</v>
      </c>
      <c r="S51" s="2083"/>
      <c r="T51" s="2101" t="s">
        <v>541</v>
      </c>
      <c r="U51" s="2112"/>
      <c r="V51" s="2099"/>
      <c r="W51" s="2099"/>
      <c r="X51" s="2100"/>
      <c r="Y51" s="2100"/>
      <c r="Z51" s="2100"/>
      <c r="AA51" s="2100"/>
    </row>
    <row r="52" spans="1:98" ht="24.75" customHeight="1">
      <c r="A52" s="1738"/>
      <c r="B52" s="2107"/>
      <c r="C52" s="1027" t="s">
        <v>361</v>
      </c>
      <c r="D52" s="1050" t="s">
        <v>42</v>
      </c>
      <c r="E52" s="1051" t="s">
        <v>179</v>
      </c>
      <c r="F52" s="690" t="s">
        <v>362</v>
      </c>
      <c r="G52" s="691" t="s">
        <v>179</v>
      </c>
      <c r="H52" s="690" t="s">
        <v>362</v>
      </c>
      <c r="I52" s="691" t="s">
        <v>179</v>
      </c>
      <c r="J52" s="690" t="s">
        <v>362</v>
      </c>
      <c r="K52" s="691" t="s">
        <v>179</v>
      </c>
      <c r="L52" s="1053" t="s">
        <v>42</v>
      </c>
      <c r="M52" s="978" t="s">
        <v>179</v>
      </c>
      <c r="N52" s="1053" t="s">
        <v>42</v>
      </c>
      <c r="O52" s="978" t="s">
        <v>179</v>
      </c>
      <c r="P52" s="1053" t="s">
        <v>42</v>
      </c>
      <c r="Q52" s="978" t="s">
        <v>179</v>
      </c>
      <c r="R52" s="1053" t="s">
        <v>42</v>
      </c>
      <c r="S52" s="978" t="s">
        <v>179</v>
      </c>
      <c r="T52" s="1053" t="s">
        <v>42</v>
      </c>
      <c r="U52" s="1054" t="s">
        <v>179</v>
      </c>
      <c r="V52" s="1031" t="s">
        <v>42</v>
      </c>
      <c r="W52" s="1030" t="s">
        <v>179</v>
      </c>
      <c r="X52" s="1031" t="s">
        <v>42</v>
      </c>
      <c r="Y52" s="1030" t="s">
        <v>179</v>
      </c>
      <c r="Z52" s="1031" t="s">
        <v>42</v>
      </c>
      <c r="AA52" s="1030" t="s">
        <v>179</v>
      </c>
    </row>
    <row r="53" spans="1:98" ht="15" customHeight="1">
      <c r="A53" s="2084" t="s">
        <v>555</v>
      </c>
      <c r="B53" s="1106" t="s">
        <v>74</v>
      </c>
      <c r="C53" s="1107"/>
      <c r="D53" s="1078">
        <f>+F53+H53+J53+L53+N53+P53+R53+T53</f>
        <v>0</v>
      </c>
      <c r="E53" s="1079">
        <f>+G53+I53+K53+M53+O53+Q53+S53+U53</f>
        <v>0</v>
      </c>
      <c r="F53" s="1033"/>
      <c r="G53" s="1034"/>
      <c r="H53" s="1033"/>
      <c r="I53" s="1034"/>
      <c r="J53" s="1033"/>
      <c r="K53" s="1034"/>
      <c r="L53" s="1033"/>
      <c r="M53" s="1034"/>
      <c r="N53" s="1033"/>
      <c r="O53" s="1034"/>
      <c r="P53" s="1033"/>
      <c r="Q53" s="1034"/>
      <c r="R53" s="1033"/>
      <c r="S53" s="1034"/>
      <c r="T53" s="1033"/>
      <c r="U53" s="1058"/>
      <c r="V53" s="1057"/>
      <c r="W53" s="1034"/>
      <c r="X53" s="1033"/>
      <c r="Y53" s="1034"/>
      <c r="Z53" s="1033"/>
      <c r="AA53" s="1034"/>
      <c r="AB53" s="5" t="str">
        <f>CA53&amp;CB53&amp;CC53&amp;CD53&amp;CE53&amp;CF53&amp;CG53</f>
        <v/>
      </c>
      <c r="BC53" s="346"/>
      <c r="BD53" s="346"/>
      <c r="BE53" s="346"/>
      <c r="BF53" s="346"/>
      <c r="BG53" s="346"/>
      <c r="BH53" s="346"/>
      <c r="BI53" s="346"/>
      <c r="BJ53" s="346"/>
      <c r="BK53" s="346"/>
      <c r="BL53" s="346"/>
      <c r="CB53" s="142" t="str">
        <f>IF(AND($D53&gt;0,OR(V53=""))," * No olvide digitar la variable Pueblos Originarios Hombres. Digite Cero si no tiene.",IF(V53&gt;$D53," * La variable Pueblos Originarios Hombres no puede ser Mayor al Total Hombres.",""))</f>
        <v/>
      </c>
      <c r="CC53" s="142" t="str">
        <f>IF(AND($E53&gt;0,OR(W53=""))," * No olvide digitar la variable Pueblos Originarios Mujeres. Digite Cero si no tiene.",IF(W53&gt;$E53," * La variable Pueblos Originarios Mujeres no puede ser Mayor al Total Mujeres.",""))</f>
        <v/>
      </c>
      <c r="CD53" s="142" t="str">
        <f>IF(AND($D53&gt;0,OR(X53=""))," * No olvide digitar la variable Migrantes Hombres. Digite Cero si no tiene.",IF(X53&gt;$D53," * La variable Migrantes Hombres no puede ser Mayor al Total Hombres.",""))</f>
        <v/>
      </c>
      <c r="CE53" s="142" t="str">
        <f>IF(AND($E53&gt;0,OR(Y53=""))," * No olvide digitar la variable Migrantes Mujeres. Digite Cero si no tiene.",IF(Y53&gt;$E53," * La variable Migrantes Mujeres no puede ser Mayor al Total Mujeres.",""))</f>
        <v/>
      </c>
      <c r="CF53" s="142" t="str">
        <f>IF(AND($D53&gt;0,OR(Z53=""))," * No olvide digitar la variable Personas Mayores en ELEAM Hombres. Digite Cero si no tiene.",IF(Z53&gt;$D53," * La variable Personas Mayores en ELEAM Hombres no puede ser Mayor al Total Hombres.",""))</f>
        <v/>
      </c>
      <c r="CG53" s="142" t="str">
        <f>IF(AND($E53&gt;0,OR(AA53=""))," * No olvide digitar la variable Personas Mayores en ELEAM Mujeres. Digite Cero si no tiene.",IF(AA53&gt;$E53," * La variable Personas Mayores en ELEAM Mujeres no puede ser Mayor al Total Mujeres.",""))</f>
        <v/>
      </c>
      <c r="CN53" s="34">
        <f t="shared" ref="CN53:CN57" si="18">IF($C$48&lt;=$C$15,0,1)</f>
        <v>0</v>
      </c>
      <c r="CO53" s="34">
        <f t="shared" ref="CO53:CP57" si="19">IF(AND(D53&gt;0,OR(V53="")),1,IF(V53&gt;D53,1,0))</f>
        <v>0</v>
      </c>
      <c r="CP53" s="34">
        <f t="shared" si="19"/>
        <v>0</v>
      </c>
      <c r="CQ53" s="34">
        <f t="shared" ref="CQ53:CQ57" si="20">IF(AND($D53&gt;0,OR(X53="")),1,IF(X53&gt;$D53,1,0))</f>
        <v>0</v>
      </c>
      <c r="CR53" s="34">
        <f>IF(AND($E53&gt;0,OR(Y53="")),1,IF(Y53&gt;$E53,1,0))</f>
        <v>0</v>
      </c>
      <c r="CS53" s="34">
        <f t="shared" ref="CS53:CS57" si="21">IF(AND($D53&gt;0,OR(Z53="")),1,IF(Z53&gt;$D53,1,0))</f>
        <v>0</v>
      </c>
      <c r="CT53" s="34">
        <f t="shared" ref="CT53:CT57" si="22">IF(AND($E53&gt;0,OR(AA53="")),1,IF(AA53&gt;$E53,1,0))</f>
        <v>0</v>
      </c>
    </row>
    <row r="54" spans="1:98" ht="15" customHeight="1">
      <c r="A54" s="1907"/>
      <c r="B54" s="1095" t="s">
        <v>364</v>
      </c>
      <c r="C54" s="1096"/>
      <c r="D54" s="1080">
        <f>+F54+H54+J54+L54+N54+P54+R54+T54</f>
        <v>0</v>
      </c>
      <c r="E54" s="1081">
        <f t="shared" ref="E54:E55" si="23">+G54+I54+K54+M54+O54+Q54+S54+U54</f>
        <v>0</v>
      </c>
      <c r="F54" s="1041"/>
      <c r="G54" s="1042"/>
      <c r="H54" s="1041"/>
      <c r="I54" s="1042"/>
      <c r="J54" s="1041"/>
      <c r="K54" s="1042"/>
      <c r="L54" s="1041"/>
      <c r="M54" s="1042"/>
      <c r="N54" s="1041"/>
      <c r="O54" s="1042"/>
      <c r="P54" s="1041"/>
      <c r="Q54" s="1042"/>
      <c r="R54" s="1041"/>
      <c r="S54" s="1042"/>
      <c r="T54" s="1041"/>
      <c r="U54" s="1062"/>
      <c r="V54" s="1061"/>
      <c r="W54" s="1042"/>
      <c r="X54" s="1041"/>
      <c r="Y54" s="1042"/>
      <c r="Z54" s="1041"/>
      <c r="AA54" s="1042"/>
      <c r="AB54" s="5" t="str">
        <f t="shared" ref="AB54:AB56" si="24">CA54&amp;CB54&amp;CC54&amp;CD54&amp;CE54&amp;CF54&amp;CG54</f>
        <v/>
      </c>
      <c r="CB54" s="142" t="str">
        <f t="shared" ref="CB54:CB57" si="25">IF(AND($D54&gt;0,OR(V54=""))," * No olvide digitar la variable Pueblos Originarios Hombres. Digite Cero si no tiene.",IF(V54&gt;$D54," * La variable Pueblos Originarios Hombres no puede ser Mayor al Total Hombres.",""))</f>
        <v/>
      </c>
      <c r="CC54" s="142" t="str">
        <f t="shared" ref="CC54:CC57" si="26">IF(AND($E54&gt;0,OR(W54=""))," * No olvide digitar la variable Pueblos Originarios Mujeres. Digite Cero si no tiene.",IF(W54&gt;$E54," * La variable Pueblos Originarios Mujeres no puede ser Mayor al Total Mujeres.",""))</f>
        <v/>
      </c>
      <c r="CD54" s="142" t="str">
        <f t="shared" ref="CD54:CD57" si="27">IF(AND($D54&gt;0,OR(X54=""))," * No olvide digitar la variable Migrantes Hombres. Digite Cero si no tiene.",IF(X54&gt;$D54," * La variable Migrantes Hombres no puede ser Mayor al Total Hombres.",""))</f>
        <v/>
      </c>
      <c r="CE54" s="142" t="str">
        <f t="shared" ref="CE54:CE57" si="28">IF(AND($E54&gt;0,OR(Y54=""))," * No olvide digitar la variable Migrantes Mujeres. Digite Cero si no tiene.",IF(Y54&gt;$E54," * La variable Migrantes Mujeres no puede ser Mayor al Total Mujeres.",""))</f>
        <v/>
      </c>
      <c r="CF54" s="142" t="str">
        <f t="shared" ref="CF54:CF57" si="29">IF(AND($D54&gt;0,OR(Z54=""))," * No olvide digitar la variable Personas Mayores en ELEAM Hombres. Digite Cero si no tiene.",IF(Z54&gt;$D54," * La variable Personas Mayores en ELEAM Hombres no puede ser Mayor al Total Hombres.",""))</f>
        <v/>
      </c>
      <c r="CG54" s="142" t="str">
        <f t="shared" ref="CG54:CG57" si="30">IF(AND($E54&gt;0,OR(AA54=""))," * No olvide digitar la variable Personas Mayores en ELEAM Mujeres. Digite Cero si no tiene.",IF(AA54&gt;$E54," * La variable Personas Mayores en ELEAM Mujeres no puede ser Mayor al Total Mujeres.",""))</f>
        <v/>
      </c>
      <c r="CN54" s="34">
        <f t="shared" si="18"/>
        <v>0</v>
      </c>
      <c r="CO54" s="34">
        <f t="shared" si="19"/>
        <v>0</v>
      </c>
      <c r="CP54" s="34">
        <f t="shared" si="19"/>
        <v>0</v>
      </c>
      <c r="CQ54" s="34">
        <f t="shared" si="20"/>
        <v>0</v>
      </c>
      <c r="CR54" s="34">
        <f t="shared" ref="CR54:CR57" si="31">IF(AND($E54&gt;0,OR(Y54="")),1,IF(Y54&gt;$E54,1,0))</f>
        <v>0</v>
      </c>
      <c r="CS54" s="34">
        <f t="shared" si="21"/>
        <v>0</v>
      </c>
      <c r="CT54" s="34">
        <f t="shared" si="22"/>
        <v>0</v>
      </c>
    </row>
    <row r="55" spans="1:98" ht="15" customHeight="1">
      <c r="A55" s="1738"/>
      <c r="B55" s="1108" t="s">
        <v>556</v>
      </c>
      <c r="C55" s="1109"/>
      <c r="D55" s="1083">
        <f>+F55+H55+J55+L55+N55+P55+R55+T55</f>
        <v>0</v>
      </c>
      <c r="E55" s="1084">
        <f t="shared" si="23"/>
        <v>0</v>
      </c>
      <c r="F55" s="1010"/>
      <c r="G55" s="1011"/>
      <c r="H55" s="1010"/>
      <c r="I55" s="1011"/>
      <c r="J55" s="1010"/>
      <c r="K55" s="1011"/>
      <c r="L55" s="1010"/>
      <c r="M55" s="1011"/>
      <c r="N55" s="1010"/>
      <c r="O55" s="1011"/>
      <c r="P55" s="1010"/>
      <c r="Q55" s="1011"/>
      <c r="R55" s="1010"/>
      <c r="S55" s="1011"/>
      <c r="T55" s="1010"/>
      <c r="U55" s="1067"/>
      <c r="V55" s="1014"/>
      <c r="W55" s="1011"/>
      <c r="X55" s="1010"/>
      <c r="Y55" s="1011"/>
      <c r="Z55" s="1010"/>
      <c r="AA55" s="1011"/>
      <c r="AB55" s="5" t="str">
        <f t="shared" si="24"/>
        <v/>
      </c>
      <c r="CA55" s="142" t="str">
        <f>IF(SUM($C53:$C55)&gt;$C15,"* La suma de adultos mayores con Riesgo de caída TIMED UP AND GO deben ser menor o igual al SUBTOTAL (EFAM) de la sección A. ","")</f>
        <v/>
      </c>
      <c r="CB55" s="142" t="str">
        <f>IF(AND($D55&gt;0,OR(V55=""))," * No olvide digitar la variable Pueblos Originarios Hombres. Digite Cero si no tiene.",IF(V55&gt;$D55," * La variable Pueblos Originarios Hombres no puede ser Mayor al Total Hombres.",""))</f>
        <v/>
      </c>
      <c r="CC55" s="142" t="str">
        <f t="shared" si="26"/>
        <v/>
      </c>
      <c r="CD55" s="142" t="str">
        <f t="shared" si="27"/>
        <v/>
      </c>
      <c r="CE55" s="142" t="str">
        <f t="shared" si="28"/>
        <v/>
      </c>
      <c r="CF55" s="142" t="str">
        <f t="shared" si="29"/>
        <v/>
      </c>
      <c r="CG55" s="142" t="str">
        <f t="shared" si="30"/>
        <v/>
      </c>
      <c r="CM55" s="34">
        <f>IF(SUM($C53:$C55)&gt;$C15,1,0)</f>
        <v>0</v>
      </c>
      <c r="CN55" s="34">
        <f t="shared" si="18"/>
        <v>0</v>
      </c>
      <c r="CO55" s="34">
        <f t="shared" si="19"/>
        <v>0</v>
      </c>
      <c r="CP55" s="34">
        <f t="shared" si="19"/>
        <v>0</v>
      </c>
      <c r="CQ55" s="34">
        <f t="shared" si="20"/>
        <v>0</v>
      </c>
      <c r="CR55" s="34">
        <f t="shared" si="31"/>
        <v>0</v>
      </c>
      <c r="CS55" s="34">
        <f t="shared" si="21"/>
        <v>0</v>
      </c>
      <c r="CT55" s="34">
        <f t="shared" si="22"/>
        <v>0</v>
      </c>
    </row>
    <row r="56" spans="1:98" ht="15" customHeight="1">
      <c r="A56" s="2084" t="s">
        <v>557</v>
      </c>
      <c r="B56" s="1106" t="s">
        <v>74</v>
      </c>
      <c r="C56" s="1107"/>
      <c r="D56" s="1085">
        <v>0</v>
      </c>
      <c r="E56" s="1086">
        <v>0</v>
      </c>
      <c r="F56" s="1087"/>
      <c r="G56" s="1088"/>
      <c r="H56" s="1087"/>
      <c r="I56" s="1088"/>
      <c r="J56" s="1087"/>
      <c r="K56" s="1088"/>
      <c r="L56" s="1087"/>
      <c r="M56" s="1088"/>
      <c r="N56" s="1087"/>
      <c r="O56" s="1088"/>
      <c r="P56" s="1087"/>
      <c r="Q56" s="1088"/>
      <c r="R56" s="1087"/>
      <c r="S56" s="1088"/>
      <c r="T56" s="1087"/>
      <c r="U56" s="1089"/>
      <c r="V56" s="1090"/>
      <c r="W56" s="1088"/>
      <c r="X56" s="1087"/>
      <c r="Y56" s="1088"/>
      <c r="Z56" s="1087"/>
      <c r="AA56" s="1088"/>
      <c r="AB56" s="5" t="str">
        <f t="shared" si="24"/>
        <v/>
      </c>
      <c r="CB56" s="142" t="str">
        <f t="shared" si="25"/>
        <v/>
      </c>
      <c r="CC56" s="142" t="str">
        <f t="shared" si="26"/>
        <v/>
      </c>
      <c r="CD56" s="142" t="str">
        <f t="shared" si="27"/>
        <v/>
      </c>
      <c r="CE56" s="142" t="str">
        <f t="shared" si="28"/>
        <v/>
      </c>
      <c r="CF56" s="142" t="str">
        <f t="shared" si="29"/>
        <v/>
      </c>
      <c r="CG56" s="142" t="str">
        <f t="shared" si="30"/>
        <v/>
      </c>
      <c r="CN56" s="34">
        <f t="shared" si="18"/>
        <v>0</v>
      </c>
      <c r="CO56" s="34">
        <f t="shared" si="19"/>
        <v>0</v>
      </c>
      <c r="CP56" s="34">
        <f t="shared" si="19"/>
        <v>0</v>
      </c>
      <c r="CQ56" s="34">
        <f t="shared" si="20"/>
        <v>0</v>
      </c>
      <c r="CR56" s="34">
        <f t="shared" si="31"/>
        <v>0</v>
      </c>
      <c r="CS56" s="34">
        <f t="shared" si="21"/>
        <v>0</v>
      </c>
      <c r="CT56" s="34">
        <f t="shared" si="22"/>
        <v>0</v>
      </c>
    </row>
    <row r="57" spans="1:98" ht="15" customHeight="1">
      <c r="A57" s="1738"/>
      <c r="B57" s="1082" t="s">
        <v>558</v>
      </c>
      <c r="C57" s="1110"/>
      <c r="D57" s="1091">
        <v>0</v>
      </c>
      <c r="E57" s="1092">
        <v>0</v>
      </c>
      <c r="F57" s="1010"/>
      <c r="G57" s="1011"/>
      <c r="H57" s="1010"/>
      <c r="I57" s="1011"/>
      <c r="J57" s="1010"/>
      <c r="K57" s="1011"/>
      <c r="L57" s="1010"/>
      <c r="M57" s="1011"/>
      <c r="N57" s="1010"/>
      <c r="O57" s="1011"/>
      <c r="P57" s="1010"/>
      <c r="Q57" s="1011"/>
      <c r="R57" s="1010"/>
      <c r="S57" s="1011"/>
      <c r="T57" s="1010"/>
      <c r="U57" s="1067"/>
      <c r="V57" s="1014"/>
      <c r="W57" s="1011"/>
      <c r="X57" s="1010"/>
      <c r="Y57" s="1011"/>
      <c r="Z57" s="1010"/>
      <c r="AA57" s="1011"/>
      <c r="AB57" s="5" t="str">
        <f>CA57&amp;CB57&amp;CC57&amp;CD57&amp;CE57&amp;CF57&amp;CG57</f>
        <v/>
      </c>
      <c r="CB57" s="142" t="str">
        <f t="shared" si="25"/>
        <v/>
      </c>
      <c r="CC57" s="142" t="str">
        <f t="shared" si="26"/>
        <v/>
      </c>
      <c r="CD57" s="142" t="str">
        <f t="shared" si="27"/>
        <v/>
      </c>
      <c r="CE57" s="142" t="str">
        <f t="shared" si="28"/>
        <v/>
      </c>
      <c r="CF57" s="142" t="str">
        <f t="shared" si="29"/>
        <v/>
      </c>
      <c r="CG57" s="142" t="str">
        <f t="shared" si="30"/>
        <v/>
      </c>
      <c r="CN57" s="34">
        <f t="shared" si="18"/>
        <v>0</v>
      </c>
      <c r="CO57" s="34">
        <f t="shared" si="19"/>
        <v>0</v>
      </c>
      <c r="CP57" s="34">
        <f t="shared" si="19"/>
        <v>0</v>
      </c>
      <c r="CQ57" s="34">
        <f t="shared" si="20"/>
        <v>0</v>
      </c>
      <c r="CR57" s="34">
        <f t="shared" si="31"/>
        <v>0</v>
      </c>
      <c r="CS57" s="34">
        <f t="shared" si="21"/>
        <v>0</v>
      </c>
      <c r="CT57" s="34">
        <f t="shared" si="22"/>
        <v>0</v>
      </c>
    </row>
    <row r="59" spans="1:98" ht="12.75" customHeight="1"/>
    <row r="81" spans="1:51" ht="14.4" hidden="1" customHeight="1">
      <c r="A81" s="1093">
        <f>SUM(C12:C14,C16:C19, C26:C28,C34:C37,C43:C43,C48:C48,C53:C57)</f>
        <v>0</v>
      </c>
      <c r="B81" s="383" t="s">
        <v>142</v>
      </c>
      <c r="AB81" s="5"/>
      <c r="AC81" s="5"/>
      <c r="AD81" s="5"/>
      <c r="AE81" s="5"/>
      <c r="AF81" s="5"/>
      <c r="AG81" s="5"/>
      <c r="AH81" s="5"/>
      <c r="AI81" s="5"/>
      <c r="AJ81" s="5"/>
      <c r="AK81" s="5"/>
      <c r="AL81" s="5"/>
      <c r="AM81" s="5"/>
      <c r="AN81" s="5"/>
      <c r="AO81" s="5"/>
      <c r="AP81" s="5"/>
      <c r="AQ81" s="5"/>
      <c r="AR81" s="5"/>
      <c r="AS81" s="5"/>
      <c r="AT81" s="5"/>
      <c r="AU81" s="5"/>
      <c r="AV81" s="5"/>
      <c r="AW81" s="5"/>
      <c r="AX81" s="5"/>
      <c r="AY81" s="5"/>
    </row>
    <row r="82" spans="1:51" ht="14.4" hidden="1" customHeight="1">
      <c r="A82" s="1093">
        <f>SUM(CM12:CT57)</f>
        <v>0</v>
      </c>
      <c r="B82" s="383" t="s">
        <v>143</v>
      </c>
      <c r="AB82" s="5"/>
      <c r="AC82" s="5"/>
      <c r="AD82" s="5"/>
      <c r="AE82" s="5"/>
      <c r="AF82" s="5"/>
      <c r="AG82" s="5"/>
      <c r="AH82" s="5"/>
      <c r="AI82" s="5"/>
      <c r="AJ82" s="5"/>
      <c r="AK82" s="5"/>
      <c r="AL82" s="5"/>
      <c r="AM82" s="5"/>
      <c r="AN82" s="5"/>
      <c r="AO82" s="5"/>
      <c r="AP82" s="5"/>
      <c r="AQ82" s="5"/>
      <c r="AR82" s="5"/>
      <c r="AS82" s="5"/>
      <c r="AT82" s="5"/>
      <c r="AU82" s="5"/>
      <c r="AV82" s="5"/>
      <c r="AW82" s="5"/>
      <c r="AX82" s="5"/>
      <c r="AY82" s="5"/>
    </row>
  </sheetData>
  <mergeCells count="119">
    <mergeCell ref="A7:U7"/>
    <mergeCell ref="CB8:CC9"/>
    <mergeCell ref="CD8:CE9"/>
    <mergeCell ref="CF8:CG9"/>
    <mergeCell ref="CO8:CP9"/>
    <mergeCell ref="CQ8:CR9"/>
    <mergeCell ref="L10:M10"/>
    <mergeCell ref="N10:O10"/>
    <mergeCell ref="P10:Q10"/>
    <mergeCell ref="R10:S10"/>
    <mergeCell ref="T10:U10"/>
    <mergeCell ref="A12:B12"/>
    <mergeCell ref="CS8:CT9"/>
    <mergeCell ref="A9:B11"/>
    <mergeCell ref="C9:E10"/>
    <mergeCell ref="F9:U9"/>
    <mergeCell ref="V9:W10"/>
    <mergeCell ref="X9:Y10"/>
    <mergeCell ref="Z9:AA10"/>
    <mergeCell ref="F10:G10"/>
    <mergeCell ref="H10:I10"/>
    <mergeCell ref="J10:K10"/>
    <mergeCell ref="A19:B19"/>
    <mergeCell ref="A20:B20"/>
    <mergeCell ref="A21:B21"/>
    <mergeCell ref="A23:B25"/>
    <mergeCell ref="C23:E24"/>
    <mergeCell ref="F23:W23"/>
    <mergeCell ref="V24:W24"/>
    <mergeCell ref="A13:B13"/>
    <mergeCell ref="A14:B14"/>
    <mergeCell ref="A15:B15"/>
    <mergeCell ref="A16:B16"/>
    <mergeCell ref="A17:B17"/>
    <mergeCell ref="A18:B18"/>
    <mergeCell ref="X23:Y24"/>
    <mergeCell ref="Z23:AA24"/>
    <mergeCell ref="F24:G24"/>
    <mergeCell ref="H24:I24"/>
    <mergeCell ref="J24:K24"/>
    <mergeCell ref="L24:M24"/>
    <mergeCell ref="N24:O24"/>
    <mergeCell ref="P24:Q24"/>
    <mergeCell ref="R24:S24"/>
    <mergeCell ref="T24:U24"/>
    <mergeCell ref="A37:B37"/>
    <mergeCell ref="A38:B38"/>
    <mergeCell ref="A39:G39"/>
    <mergeCell ref="A26:B26"/>
    <mergeCell ref="A27:B27"/>
    <mergeCell ref="A28:B28"/>
    <mergeCell ref="A29:B29"/>
    <mergeCell ref="A31:B33"/>
    <mergeCell ref="C31:E32"/>
    <mergeCell ref="F31:U31"/>
    <mergeCell ref="P32:Q32"/>
    <mergeCell ref="R32:S32"/>
    <mergeCell ref="T32:U32"/>
    <mergeCell ref="A34:B34"/>
    <mergeCell ref="A35:B35"/>
    <mergeCell ref="A36:B36"/>
    <mergeCell ref="CV31:CV32"/>
    <mergeCell ref="F32:G32"/>
    <mergeCell ref="H32:I32"/>
    <mergeCell ref="J32:K32"/>
    <mergeCell ref="L32:M32"/>
    <mergeCell ref="N32:O32"/>
    <mergeCell ref="V31:W32"/>
    <mergeCell ref="X31:Y32"/>
    <mergeCell ref="Z31:AA32"/>
    <mergeCell ref="A43:B43"/>
    <mergeCell ref="A44:H44"/>
    <mergeCell ref="A45:B47"/>
    <mergeCell ref="C45:E46"/>
    <mergeCell ref="F45:U45"/>
    <mergeCell ref="V45:W46"/>
    <mergeCell ref="V40:W41"/>
    <mergeCell ref="X40:Y41"/>
    <mergeCell ref="Z40:AA41"/>
    <mergeCell ref="F41:G41"/>
    <mergeCell ref="H41:I41"/>
    <mergeCell ref="J41:K41"/>
    <mergeCell ref="L41:M41"/>
    <mergeCell ref="N41:O41"/>
    <mergeCell ref="P41:Q41"/>
    <mergeCell ref="R41:S41"/>
    <mergeCell ref="A40:B42"/>
    <mergeCell ref="C40:E41"/>
    <mergeCell ref="F40:U40"/>
    <mergeCell ref="T41:U41"/>
    <mergeCell ref="A48:B48"/>
    <mergeCell ref="A49:I49"/>
    <mergeCell ref="A50:A52"/>
    <mergeCell ref="B50:B52"/>
    <mergeCell ref="C50:E51"/>
    <mergeCell ref="F50:U50"/>
    <mergeCell ref="T51:U51"/>
    <mergeCell ref="X45:Y46"/>
    <mergeCell ref="Z45:AA46"/>
    <mergeCell ref="F46:G46"/>
    <mergeCell ref="H46:I46"/>
    <mergeCell ref="J46:K46"/>
    <mergeCell ref="L46:M46"/>
    <mergeCell ref="N46:O46"/>
    <mergeCell ref="P46:Q46"/>
    <mergeCell ref="R46:S46"/>
    <mergeCell ref="T46:U46"/>
    <mergeCell ref="A53:A55"/>
    <mergeCell ref="A56:A57"/>
    <mergeCell ref="V50:W51"/>
    <mergeCell ref="X50:Y51"/>
    <mergeCell ref="Z50:AA51"/>
    <mergeCell ref="F51:G51"/>
    <mergeCell ref="H51:I51"/>
    <mergeCell ref="J51:K51"/>
    <mergeCell ref="L51:M51"/>
    <mergeCell ref="N51:O51"/>
    <mergeCell ref="P51:Q51"/>
    <mergeCell ref="R51:S51"/>
  </mergeCells>
  <dataValidations count="6">
    <dataValidation type="whole" operator="greaterThanOrEqual" allowBlank="1" showInputMessage="1" showErrorMessage="1" sqref="F53:AA57 F16:AA19 G26:AA28 F34:AA37 F43:AA43 F48:AA48 F12:AA14" xr:uid="{4014642D-3C7E-4C55-B1B8-14151B175833}">
      <formula1>0</formula1>
    </dataValidation>
    <dataValidation allowBlank="1" showInputMessage="1" showErrorMessage="1" errorTitle=" Error de ingreso" error="Debe ingresar sólo números enteros positivos." sqref="BC15:BM15 BC20:BM20 BC29:BL29 BC38:BL38 BC43:BL43 BC48:BL48 BC53:BL53 CB8 CF10:CG10 CB10:CE11 CO8 CD8 CQ8 CO10:CT10" xr:uid="{8F568F91-E033-4D3B-BAB4-624FBEDBEBB2}"/>
    <dataValidation type="whole" allowBlank="1" showInputMessage="1" showErrorMessage="1" sqref="F26:F28" xr:uid="{B0B28363-87F7-45A9-9ACD-34939FF1EC11}">
      <formula1>0</formula1>
      <formula2>1E+51</formula2>
    </dataValidation>
    <dataValidation allowBlank="1" showInputMessage="1" showErrorMessage="1" errorTitle="Error de ingreso" error="Debe ingresar sólo números enteros positivos." sqref="A2:A5" xr:uid="{9C8E18C2-948E-4E23-AA11-C1BB0F101E3E}"/>
    <dataValidation type="whole" allowBlank="1" showInputMessage="1" showErrorMessage="1" errorTitle="Error" error="Por favor ingrese números enteros" sqref="A12:A14 C12:C14 A16:A19 C16:C18 V9 X23 V31 V40 V45 V50 A26:A28 C26:C28 A34:B37 A43:B43 A48:B48 B53:C56" xr:uid="{B90690CD-0888-4756-A520-AC0539452877}">
      <formula1>0</formula1>
      <formula2>1000000000</formula2>
    </dataValidation>
    <dataValidation allowBlank="1" showInputMessage="1" showErrorMessage="1" errorTitle="Error" error="Por favor ingrese números enteros" sqref="X9 Z23 X31 X40 X45 X50" xr:uid="{0C56B485-A724-4F6E-97C7-0F9D1E2768BF}"/>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4AAF-B65F-4BD0-89CD-75D8C2B361B3}">
  <dimension ref="A1:HZ155"/>
  <sheetViews>
    <sheetView zoomScaleNormal="100" workbookViewId="0"/>
  </sheetViews>
  <sheetFormatPr baseColWidth="10" defaultColWidth="11.453125" defaultRowHeight="14.5"/>
  <cols>
    <col min="1" max="1" width="34.453125" style="5" customWidth="1"/>
    <col min="2" max="2" width="58.81640625" style="5" customWidth="1"/>
    <col min="3" max="3" width="13.81640625" style="5" customWidth="1"/>
    <col min="4" max="45" width="10.453125" style="5" customWidth="1"/>
    <col min="46" max="46" width="14.81640625" style="5" customWidth="1"/>
    <col min="47" max="47" width="12.453125" style="5" customWidth="1"/>
    <col min="48" max="52" width="11.453125" style="5"/>
    <col min="53" max="54" width="11" style="5" customWidth="1"/>
    <col min="55" max="77" width="11.453125" style="346"/>
    <col min="78" max="78" width="0" style="346" hidden="1" customWidth="1"/>
    <col min="79" max="79" width="11.453125" style="346" hidden="1" customWidth="1"/>
    <col min="80" max="97" width="11" style="5" hidden="1" customWidth="1"/>
    <col min="98" max="100" width="11" style="346" hidden="1" customWidth="1"/>
    <col min="101" max="103" width="11" style="5" hidden="1" customWidth="1"/>
    <col min="104" max="116" width="11" style="5" customWidth="1"/>
    <col min="117" max="119" width="11" style="346" customWidth="1"/>
    <col min="120" max="122" width="11" style="5" customWidth="1"/>
    <col min="123" max="16384" width="11.453125" style="5"/>
  </cols>
  <sheetData>
    <row r="1" spans="1:126" s="3" customFormat="1" ht="13.5" customHeight="1">
      <c r="A1" s="1" t="s">
        <v>0</v>
      </c>
    </row>
    <row r="2" spans="1:126" s="3" customFormat="1" ht="13.5" customHeight="1">
      <c r="A2" s="1" t="s">
        <v>449</v>
      </c>
    </row>
    <row r="3" spans="1:126" s="3" customFormat="1" ht="13.5" customHeight="1">
      <c r="A3" s="1" t="s">
        <v>450</v>
      </c>
      <c r="C3" s="672"/>
    </row>
    <row r="4" spans="1:126" s="3" customFormat="1" ht="13.5" customHeight="1">
      <c r="A4" s="1" t="s">
        <v>451</v>
      </c>
    </row>
    <row r="5" spans="1:126" s="3" customFormat="1" ht="13.5" customHeight="1">
      <c r="A5" s="1" t="s">
        <v>452</v>
      </c>
    </row>
    <row r="6" spans="1:126" s="3" customFormat="1" ht="15" customHeight="1">
      <c r="A6" s="673"/>
    </row>
    <row r="7" spans="1:126" ht="21.75" customHeight="1">
      <c r="A7" s="2254" t="s">
        <v>568</v>
      </c>
      <c r="B7" s="2254"/>
      <c r="C7" s="2254"/>
      <c r="D7" s="2254"/>
      <c r="E7" s="2254"/>
      <c r="F7" s="2254"/>
      <c r="G7" s="2254"/>
      <c r="H7" s="2254"/>
      <c r="I7" s="2254"/>
      <c r="J7" s="2254"/>
      <c r="K7" s="2254"/>
      <c r="L7" s="2254"/>
      <c r="M7" s="2254"/>
      <c r="N7" s="2254"/>
      <c r="O7" s="2254"/>
      <c r="P7" s="2254"/>
      <c r="Q7" s="2254"/>
      <c r="R7" s="2254"/>
      <c r="S7" s="2254"/>
      <c r="T7" s="2254"/>
      <c r="U7" s="2254"/>
    </row>
    <row r="8" spans="1:126" ht="17.149999999999999" customHeight="1">
      <c r="A8" s="1631" t="s">
        <v>569</v>
      </c>
      <c r="B8" s="1111"/>
      <c r="C8" s="1111"/>
      <c r="D8" s="1111"/>
      <c r="E8" s="1111"/>
      <c r="F8" s="1111"/>
      <c r="G8" s="1111"/>
      <c r="H8" s="1112"/>
      <c r="I8" s="1112"/>
      <c r="J8" s="1112"/>
      <c r="K8" s="1112"/>
      <c r="L8" s="1112"/>
      <c r="M8" s="1112"/>
      <c r="N8" s="1112"/>
      <c r="O8" s="1112"/>
      <c r="P8" s="1112"/>
      <c r="Q8" s="1112"/>
      <c r="R8" s="1112"/>
      <c r="S8" s="1112"/>
      <c r="T8" s="1112"/>
      <c r="U8" s="1112"/>
    </row>
    <row r="9" spans="1:126" ht="17.149999999999999" customHeight="1">
      <c r="A9" s="2095" t="s">
        <v>570</v>
      </c>
      <c r="B9" s="2095"/>
      <c r="C9" s="2095"/>
      <c r="D9" s="2095"/>
      <c r="E9" s="2095"/>
      <c r="F9" s="2095"/>
      <c r="G9" s="2095"/>
      <c r="H9" s="2255"/>
      <c r="I9" s="2255"/>
      <c r="J9" s="2255"/>
      <c r="K9" s="2255"/>
      <c r="L9" s="2255"/>
      <c r="M9" s="2255"/>
      <c r="N9" s="2255"/>
      <c r="O9" s="2255"/>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2081"/>
    </row>
    <row r="10" spans="1:126" ht="15" customHeight="1">
      <c r="A10" s="2248" t="s">
        <v>399</v>
      </c>
      <c r="B10" s="2249"/>
      <c r="C10" s="2402" t="s">
        <v>215</v>
      </c>
      <c r="D10" s="2402"/>
      <c r="E10" s="2402"/>
      <c r="F10" s="2403" t="s">
        <v>354</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4"/>
      <c r="AN10" s="2241" t="s">
        <v>571</v>
      </c>
      <c r="AO10" s="1700" t="s">
        <v>572</v>
      </c>
      <c r="AP10" s="2244" t="s">
        <v>7</v>
      </c>
      <c r="AQ10" s="2198"/>
      <c r="AR10" s="2246" t="s">
        <v>261</v>
      </c>
      <c r="AS10" s="1727"/>
      <c r="AT10" s="2201" t="s">
        <v>656</v>
      </c>
      <c r="AU10" s="2201" t="s">
        <v>343</v>
      </c>
      <c r="AV10" s="2196" t="s">
        <v>574</v>
      </c>
      <c r="AW10" s="2237" t="s">
        <v>581</v>
      </c>
      <c r="AX10" s="2238"/>
      <c r="DM10" s="5"/>
      <c r="DP10" s="346"/>
      <c r="DQ10" s="346"/>
    </row>
    <row r="11" spans="1:126" s="7" customFormat="1" ht="15" customHeight="1">
      <c r="A11" s="2250"/>
      <c r="B11" s="2251"/>
      <c r="C11" s="2402"/>
      <c r="D11" s="2402"/>
      <c r="E11" s="2402"/>
      <c r="F11" s="2187" t="s">
        <v>356</v>
      </c>
      <c r="G11" s="2404"/>
      <c r="H11" s="2402" t="s">
        <v>357</v>
      </c>
      <c r="I11" s="2404"/>
      <c r="J11" s="2060" t="s">
        <v>264</v>
      </c>
      <c r="K11" s="2061"/>
      <c r="L11" s="2060" t="s">
        <v>13</v>
      </c>
      <c r="M11" s="2061"/>
      <c r="N11" s="2060" t="s">
        <v>14</v>
      </c>
      <c r="O11" s="2061"/>
      <c r="P11" s="2060" t="s">
        <v>15</v>
      </c>
      <c r="Q11" s="2061"/>
      <c r="R11" s="2060" t="s">
        <v>16</v>
      </c>
      <c r="S11" s="2061"/>
      <c r="T11" s="2060" t="s">
        <v>17</v>
      </c>
      <c r="U11" s="2061"/>
      <c r="V11" s="2060" t="s">
        <v>18</v>
      </c>
      <c r="W11" s="2061"/>
      <c r="X11" s="2060" t="s">
        <v>19</v>
      </c>
      <c r="Y11" s="2061"/>
      <c r="Z11" s="2060" t="s">
        <v>20</v>
      </c>
      <c r="AA11" s="2061"/>
      <c r="AB11" s="2060" t="s">
        <v>21</v>
      </c>
      <c r="AC11" s="2061"/>
      <c r="AD11" s="2060" t="s">
        <v>22</v>
      </c>
      <c r="AE11" s="2061"/>
      <c r="AF11" s="2082" t="s">
        <v>23</v>
      </c>
      <c r="AG11" s="2083"/>
      <c r="AH11" s="2082" t="s">
        <v>358</v>
      </c>
      <c r="AI11" s="2083"/>
      <c r="AJ11" s="2082" t="s">
        <v>359</v>
      </c>
      <c r="AK11" s="2083"/>
      <c r="AL11" s="2405" t="s">
        <v>360</v>
      </c>
      <c r="AM11" s="2406"/>
      <c r="AN11" s="2242"/>
      <c r="AO11" s="1700"/>
      <c r="AP11" s="2245"/>
      <c r="AQ11" s="2199"/>
      <c r="AR11" s="2247"/>
      <c r="AS11" s="2189"/>
      <c r="AT11" s="2202"/>
      <c r="AU11" s="2202"/>
      <c r="AV11" s="2197"/>
      <c r="AW11" s="2239"/>
      <c r="AX11" s="2240"/>
      <c r="AY11" s="5"/>
      <c r="AZ11" s="5"/>
      <c r="BA11" s="5"/>
      <c r="BB11" s="5"/>
      <c r="CA11" s="2084" t="s">
        <v>571</v>
      </c>
      <c r="CB11" s="2084" t="s">
        <v>575</v>
      </c>
      <c r="CC11" s="2060" t="s">
        <v>576</v>
      </c>
      <c r="CD11" s="2061"/>
      <c r="CE11" s="2060" t="s">
        <v>577</v>
      </c>
      <c r="CF11" s="2061"/>
      <c r="CG11" s="2084" t="s">
        <v>578</v>
      </c>
      <c r="CH11" s="2084" t="s">
        <v>579</v>
      </c>
      <c r="CI11" s="2085" t="s">
        <v>574</v>
      </c>
      <c r="CJ11" s="2060" t="s">
        <v>580</v>
      </c>
      <c r="CK11" s="2061"/>
      <c r="CL11" s="5"/>
      <c r="CM11" s="1624"/>
      <c r="CN11" s="2084" t="s">
        <v>571</v>
      </c>
      <c r="CO11" s="2084" t="s">
        <v>575</v>
      </c>
      <c r="CP11" s="2060" t="s">
        <v>576</v>
      </c>
      <c r="CQ11" s="2061"/>
      <c r="CR11" s="2060" t="s">
        <v>577</v>
      </c>
      <c r="CS11" s="2061"/>
      <c r="CT11" s="2084" t="s">
        <v>578</v>
      </c>
      <c r="CU11" s="2084" t="s">
        <v>579</v>
      </c>
      <c r="CV11" s="2084" t="s">
        <v>574</v>
      </c>
      <c r="CW11" s="2060" t="s">
        <v>581</v>
      </c>
      <c r="CX11" s="2061"/>
      <c r="CY11" s="1624"/>
      <c r="DK11" s="1624"/>
      <c r="DL11" s="1624"/>
      <c r="DM11" s="1624"/>
      <c r="DN11" s="1624"/>
      <c r="DO11" s="1624"/>
      <c r="DP11" s="1624"/>
      <c r="DQ11" s="1624"/>
      <c r="DR11" s="1624"/>
      <c r="DS11" s="1624"/>
      <c r="DT11" s="2049"/>
      <c r="DV11" s="346"/>
    </row>
    <row r="12" spans="1:126" s="7" customFormat="1" ht="25.5" customHeight="1">
      <c r="A12" s="2252"/>
      <c r="B12" s="2253"/>
      <c r="C12" s="2407" t="s">
        <v>178</v>
      </c>
      <c r="D12" s="13" t="s">
        <v>42</v>
      </c>
      <c r="E12" s="689" t="s">
        <v>179</v>
      </c>
      <c r="F12" s="688" t="s">
        <v>42</v>
      </c>
      <c r="G12" s="689" t="s">
        <v>179</v>
      </c>
      <c r="H12" s="688" t="s">
        <v>42</v>
      </c>
      <c r="I12" s="689" t="s">
        <v>179</v>
      </c>
      <c r="J12" s="688" t="s">
        <v>42</v>
      </c>
      <c r="K12" s="689" t="s">
        <v>179</v>
      </c>
      <c r="L12" s="688" t="s">
        <v>42</v>
      </c>
      <c r="M12" s="689" t="s">
        <v>179</v>
      </c>
      <c r="N12" s="688" t="s">
        <v>42</v>
      </c>
      <c r="O12" s="689" t="s">
        <v>179</v>
      </c>
      <c r="P12" s="688" t="s">
        <v>42</v>
      </c>
      <c r="Q12" s="689" t="s">
        <v>179</v>
      </c>
      <c r="R12" s="688" t="s">
        <v>42</v>
      </c>
      <c r="S12" s="689" t="s">
        <v>179</v>
      </c>
      <c r="T12" s="688" t="s">
        <v>42</v>
      </c>
      <c r="U12" s="689" t="s">
        <v>179</v>
      </c>
      <c r="V12" s="688" t="s">
        <v>42</v>
      </c>
      <c r="W12" s="689" t="s">
        <v>179</v>
      </c>
      <c r="X12" s="688" t="s">
        <v>42</v>
      </c>
      <c r="Y12" s="689" t="s">
        <v>179</v>
      </c>
      <c r="Z12" s="688" t="s">
        <v>42</v>
      </c>
      <c r="AA12" s="689" t="s">
        <v>179</v>
      </c>
      <c r="AB12" s="688" t="s">
        <v>42</v>
      </c>
      <c r="AC12" s="689" t="s">
        <v>179</v>
      </c>
      <c r="AD12" s="688" t="s">
        <v>42</v>
      </c>
      <c r="AE12" s="689" t="s">
        <v>179</v>
      </c>
      <c r="AF12" s="690" t="s">
        <v>362</v>
      </c>
      <c r="AG12" s="691" t="s">
        <v>179</v>
      </c>
      <c r="AH12" s="690" t="s">
        <v>362</v>
      </c>
      <c r="AI12" s="691" t="s">
        <v>179</v>
      </c>
      <c r="AJ12" s="690" t="s">
        <v>362</v>
      </c>
      <c r="AK12" s="691" t="s">
        <v>179</v>
      </c>
      <c r="AL12" s="1053" t="s">
        <v>42</v>
      </c>
      <c r="AM12" s="1114" t="s">
        <v>179</v>
      </c>
      <c r="AN12" s="2243"/>
      <c r="AO12" s="1700"/>
      <c r="AP12" s="2408" t="s">
        <v>42</v>
      </c>
      <c r="AQ12" s="1265" t="s">
        <v>179</v>
      </c>
      <c r="AR12" s="2408" t="s">
        <v>42</v>
      </c>
      <c r="AS12" s="1265" t="s">
        <v>179</v>
      </c>
      <c r="AT12" s="2203"/>
      <c r="AU12" s="2203"/>
      <c r="AV12" s="1883"/>
      <c r="AW12" s="1632" t="s">
        <v>582</v>
      </c>
      <c r="AX12" s="2409" t="s">
        <v>583</v>
      </c>
      <c r="AY12" s="5"/>
      <c r="AZ12" s="5"/>
      <c r="BA12" s="5"/>
      <c r="BB12" s="5"/>
      <c r="CA12" s="1738"/>
      <c r="CB12" s="1738"/>
      <c r="CC12" s="2410" t="s">
        <v>42</v>
      </c>
      <c r="CD12" s="2410" t="s">
        <v>179</v>
      </c>
      <c r="CE12" s="2410" t="s">
        <v>42</v>
      </c>
      <c r="CF12" s="2410" t="s">
        <v>179</v>
      </c>
      <c r="CG12" s="1738"/>
      <c r="CH12" s="1738"/>
      <c r="CI12" s="2041"/>
      <c r="CJ12" s="2410" t="s">
        <v>582</v>
      </c>
      <c r="CK12" s="2410" t="s">
        <v>583</v>
      </c>
      <c r="CL12" s="5"/>
      <c r="CM12" s="20"/>
      <c r="CN12" s="1738"/>
      <c r="CO12" s="1738"/>
      <c r="CP12" s="2410" t="s">
        <v>42</v>
      </c>
      <c r="CQ12" s="2410" t="s">
        <v>179</v>
      </c>
      <c r="CR12" s="2410" t="s">
        <v>42</v>
      </c>
      <c r="CS12" s="2410" t="s">
        <v>179</v>
      </c>
      <c r="CT12" s="1738"/>
      <c r="CU12" s="1738"/>
      <c r="CV12" s="1738"/>
      <c r="CW12" s="2410" t="s">
        <v>582</v>
      </c>
      <c r="CX12" s="2410" t="s">
        <v>583</v>
      </c>
      <c r="CY12" s="20"/>
      <c r="DK12" s="20"/>
      <c r="DL12" s="20"/>
      <c r="DM12" s="20"/>
      <c r="DN12" s="20"/>
      <c r="DO12" s="20"/>
      <c r="DP12" s="20"/>
      <c r="DQ12" s="20"/>
      <c r="DR12" s="1624"/>
      <c r="DS12" s="1624"/>
      <c r="DT12" s="2049"/>
      <c r="DV12" s="346"/>
    </row>
    <row r="13" spans="1:126" s="7" customFormat="1" ht="15" customHeight="1">
      <c r="A13" s="2411" t="s">
        <v>640</v>
      </c>
      <c r="B13" s="2235"/>
      <c r="C13" s="2412">
        <f>SUM(D13:E13)</f>
        <v>0</v>
      </c>
      <c r="D13" s="1638">
        <f>+F13+H13+J13+L13+N13+P13+R13+T13+V13+X13+Z13+AB13+AD13+AF13+AH13+AJ13+AL13</f>
        <v>0</v>
      </c>
      <c r="E13" s="951">
        <f>+G13+I13+K13+M13+O13+Q13+S13+U13+W13+Y13+AA13+AC13+AE13+AG13+AI13+AK13+AM13</f>
        <v>0</v>
      </c>
      <c r="F13" s="1116"/>
      <c r="G13" s="1117"/>
      <c r="H13" s="1116"/>
      <c r="I13" s="1118"/>
      <c r="J13" s="2413"/>
      <c r="K13" s="1117"/>
      <c r="L13" s="1116"/>
      <c r="M13" s="1118"/>
      <c r="N13" s="1116"/>
      <c r="O13" s="1118"/>
      <c r="P13" s="1116"/>
      <c r="Q13" s="1118"/>
      <c r="R13" s="1116"/>
      <c r="S13" s="1118"/>
      <c r="T13" s="1116"/>
      <c r="U13" s="1118"/>
      <c r="V13" s="1116"/>
      <c r="W13" s="1118"/>
      <c r="X13" s="2413"/>
      <c r="Y13" s="1117"/>
      <c r="Z13" s="1116"/>
      <c r="AA13" s="1118"/>
      <c r="AB13" s="1116"/>
      <c r="AC13" s="1118"/>
      <c r="AD13" s="1116"/>
      <c r="AE13" s="1118"/>
      <c r="AF13" s="1116"/>
      <c r="AG13" s="1118"/>
      <c r="AH13" s="1116"/>
      <c r="AI13" s="1118"/>
      <c r="AJ13" s="1116"/>
      <c r="AK13" s="1118"/>
      <c r="AL13" s="2413"/>
      <c r="AM13" s="1117"/>
      <c r="AN13" s="1119"/>
      <c r="AO13" s="2414"/>
      <c r="AP13" s="2413"/>
      <c r="AQ13" s="1118"/>
      <c r="AR13" s="2413"/>
      <c r="AS13" s="1118"/>
      <c r="AT13" s="1120"/>
      <c r="AU13" s="1120"/>
      <c r="AV13" s="1120"/>
      <c r="AW13" s="1120"/>
      <c r="AX13" s="1120"/>
      <c r="AY13" s="1121" t="str">
        <f>CA13&amp;CB13&amp;CC13&amp;CD13&amp;CE13&amp;CF13&amp;CG13&amp;CH13&amp;CI13&amp;CJ13&amp;CK13</f>
        <v/>
      </c>
      <c r="AZ13" s="350"/>
      <c r="BA13" s="350"/>
      <c r="BB13" s="5"/>
      <c r="CA13" s="142" t="str">
        <f>IF(AND(E13&gt;0,OR(AN13=""))," * No olvide digitar la variable Gestantes. Digite Cero si no tiene.",IF(AN13&gt;E13," * La variable Gestante no puede ser Mayor al Total Mujeres.",""))</f>
        <v/>
      </c>
      <c r="CB13" s="142" t="str">
        <f>IF(AND(C13&gt;0,OR(AO13=""))," * No olvide digitar la variable Madre de hijo menor de 5 años. Digite Cero si no tiene.",IF(AO13&gt;C13," * La variable Madre de hijo menor de 5 años no puede ser Mayor al Total Mujeres.",""))</f>
        <v/>
      </c>
      <c r="CC13" s="142" t="str">
        <f>IF(AND(D13&gt;0,OR(AP13=""))," * No olvide digitar la variable Pueblos Originarios Hombres. Digite Cero si no tiene.",IF(AP13&gt;D13," * La variable Pueblos Originarios Hombres no puede ser Mayor al Total Hombres.",""))</f>
        <v/>
      </c>
      <c r="CD13" s="142" t="str">
        <f>IF(AND(E13&gt;0,OR(AQ13=""))," * No olvide digitar la variable Pueblos Originarios Mujeres. Digite Cero si no tiene.",IF(AQ13&gt;E13," * La variable Pueblos Originarios Mujeres no puede ser Mayor al Total Mujeres.",""))</f>
        <v/>
      </c>
      <c r="CE13" s="142" t="str">
        <f>IF(AND($D13&gt;0,OR(AR13=""))," * No olvide digitar la variable Migrantes Hombres. Digite Cero si no tiene.",IF(AR13&gt;$D13," * La variable Migrantes Hombres no puede ser Mayor al Total Hombres.",""))</f>
        <v/>
      </c>
      <c r="CF13" s="142" t="str">
        <f>IF(AND($E13&gt;0,OR(AS13=""))," * No olvide digitar la variable Migrantes Mujeres. Digite Cero si no tiene.",IF(AS13&gt;$E13," * La variable Migrantes Mujeres no puede ser Mayor al Total Mujeres.",""))</f>
        <v/>
      </c>
      <c r="CG13" s="142" t="str">
        <f>IF(AND($C13&gt;0,OR(AT13=""))," * No olvide digitar la variable Niños, Niñas, Adolescentes y Jóvenes SENAME. Digite Cero si no tiene.",IF(AT13&gt;$C13," * La variable Niños, Niñas, Adolescentes y Jóvenes SENAME no puede ser Mayor al Total ambos sexos.",""))</f>
        <v/>
      </c>
      <c r="CH13" s="142" t="str">
        <f>IF(AND($C13&gt;0,OR(AU13=""))," * No olvide digitar la variable Niños y niñas Mejor Niñez. Digite Cero si no tiene.",IF(AU13&gt;$C13," * La variable Niños y niñas Mejor Niñez no puede ser Mayor al Total ambos sexos.",""))</f>
        <v/>
      </c>
      <c r="CI13" s="142" t="str">
        <f>IF(AND(C13&gt;0,OR(AV13=""))," * No olvide digitar la variable Plan Cuidado Integral Elaborado. Digite Cero si no tiene.",IF($AV13&gt;$C13,"* La variable Plan Cuidado Integral Elaborado debe ser menor o igual al Total de Personas en control. ",""))</f>
        <v/>
      </c>
      <c r="CJ13" s="142" t="str">
        <f>IF(AND(E13&gt;0,OR(AW13=""))," * No olvide digitar la variable Trans Masculino. (Digite Cero si no tiene).",IF(AW13&gt;E13," * La variable Trans Masculino no debe ser mayor al Total Mujeres.",""))</f>
        <v/>
      </c>
      <c r="CK13" s="142" t="str">
        <f>IF(AND(D13&gt;0,OR(AX13=""))," * No olvide digitar la variable Trans Femenino. (Digite Cero si no tiene).",IF(AX13&gt;D13," * La variable Trans Femenino no debe ser mayor al Total Hombre.",""))</f>
        <v/>
      </c>
      <c r="CL13" s="5"/>
      <c r="CM13" s="5"/>
      <c r="CN13" s="34">
        <f>IF(AND($E13&gt;0,OR(AN13="")),1,IF(AN13&gt;$E13,1,0))</f>
        <v>0</v>
      </c>
      <c r="CO13" s="34">
        <f>IF(AND($E13&gt;0,OR(AO13="")),1,IF(AO13&gt;$E13,1,0))</f>
        <v>0</v>
      </c>
      <c r="CP13" s="34">
        <f>IF(AND($D13&gt;0,OR(AP13="")),1,IF(AP13&gt;$D13,1,0))</f>
        <v>0</v>
      </c>
      <c r="CQ13" s="34">
        <f>IF(AND($E13&gt;0,OR(AQ13="")),1,IF(AQ13&gt;$E13,1,0))</f>
        <v>0</v>
      </c>
      <c r="CR13" s="34">
        <f>IF(AND($D13&gt;0,OR(AR13="")),1,IF(AR13&gt;$D13,1,0))</f>
        <v>0</v>
      </c>
      <c r="CS13" s="34">
        <f>IF(AND($E13&gt;0,OR(AS13="")),1,IF(AS13&gt;$E13,1,0))</f>
        <v>0</v>
      </c>
      <c r="CT13" s="34">
        <f>IF(AND($C13&gt;0,OR(AT13="")),1,IF(AT13&gt;$C13,1,0))</f>
        <v>0</v>
      </c>
      <c r="CU13" s="34">
        <f>IF(AND($C13&gt;0,OR(AU13="")),1,IF(AU13&gt;$C13,1,0))</f>
        <v>0</v>
      </c>
      <c r="CV13" s="34">
        <f>IF(AND($C13&gt;0,OR(AV13="")),1,IF(AV13&gt;$C13,1,0))</f>
        <v>0</v>
      </c>
      <c r="CW13" s="34">
        <f>IF(AND(E13&gt;0,OR(AW13="")),1,IF(AW13&gt;$E13,1,0))</f>
        <v>0</v>
      </c>
      <c r="CX13" s="34">
        <f>IF(AND(D13&gt;0,OR(AX13="")),1,IF(AX13&gt;$D13,1,0))</f>
        <v>0</v>
      </c>
      <c r="CY13" s="5"/>
      <c r="DK13" s="5"/>
      <c r="DL13" s="5"/>
      <c r="DM13" s="5"/>
      <c r="DN13" s="5"/>
      <c r="DO13" s="5"/>
      <c r="DP13" s="5"/>
      <c r="DQ13" s="5"/>
      <c r="DR13" s="5"/>
      <c r="DS13" s="5"/>
      <c r="DT13" s="5"/>
      <c r="DV13" s="346"/>
    </row>
    <row r="14" spans="1:126" s="800" customFormat="1" ht="15" customHeight="1">
      <c r="A14" s="2233" t="s">
        <v>585</v>
      </c>
      <c r="B14" s="2236"/>
      <c r="C14" s="1258"/>
      <c r="D14" s="2415"/>
      <c r="E14" s="2415"/>
      <c r="F14" s="2415"/>
      <c r="G14" s="2415"/>
      <c r="H14" s="2415"/>
      <c r="I14" s="2415"/>
      <c r="J14" s="2415"/>
      <c r="K14" s="2415"/>
      <c r="L14" s="2415"/>
      <c r="M14" s="2415"/>
      <c r="N14" s="2415"/>
      <c r="O14" s="2415"/>
      <c r="P14" s="2415"/>
      <c r="Q14" s="2415"/>
      <c r="R14" s="2415"/>
      <c r="S14" s="2415"/>
      <c r="T14" s="2415"/>
      <c r="U14" s="2415"/>
      <c r="V14" s="2415"/>
      <c r="W14" s="2415"/>
      <c r="X14" s="2415"/>
      <c r="Y14" s="2415"/>
      <c r="Z14" s="2415"/>
      <c r="AA14" s="2415"/>
      <c r="AB14" s="2415"/>
      <c r="AC14" s="2415"/>
      <c r="AD14" s="2415"/>
      <c r="AE14" s="2415"/>
      <c r="AF14" s="2415"/>
      <c r="AG14" s="2415"/>
      <c r="AH14" s="2415"/>
      <c r="AI14" s="2415"/>
      <c r="AJ14" s="2415"/>
      <c r="AK14" s="2415"/>
      <c r="AL14" s="2415"/>
      <c r="AM14" s="2415"/>
      <c r="AN14" s="2415"/>
      <c r="AO14" s="2415"/>
      <c r="AP14" s="2415"/>
      <c r="AQ14" s="2415"/>
      <c r="AR14" s="2415"/>
      <c r="AS14" s="2415"/>
      <c r="AT14" s="2415"/>
      <c r="AU14" s="2415"/>
      <c r="AV14" s="2415"/>
      <c r="AW14" s="2415"/>
      <c r="AX14" s="1122"/>
      <c r="AY14" s="1121"/>
      <c r="AZ14" s="350"/>
      <c r="BA14" s="350"/>
      <c r="BB14" s="5"/>
      <c r="CA14" s="35"/>
      <c r="CB14" s="35"/>
      <c r="CC14" s="35"/>
      <c r="CD14" s="35"/>
      <c r="CE14" s="35"/>
      <c r="CF14" s="35"/>
      <c r="CG14" s="35"/>
      <c r="CH14" s="35"/>
      <c r="CI14" s="1123"/>
      <c r="CJ14" s="35"/>
      <c r="CK14" s="35"/>
      <c r="CL14" s="5"/>
      <c r="CM14" s="5"/>
      <c r="CN14" s="35"/>
      <c r="CO14" s="35"/>
      <c r="CP14" s="35"/>
      <c r="CQ14" s="35"/>
      <c r="CR14" s="35"/>
      <c r="CS14" s="35"/>
      <c r="CT14" s="35"/>
      <c r="CU14" s="35"/>
      <c r="CV14" s="35"/>
      <c r="CW14" s="35"/>
      <c r="CX14" s="35"/>
      <c r="CY14" s="5"/>
      <c r="DK14" s="5"/>
      <c r="DL14" s="5"/>
      <c r="DM14" s="5"/>
      <c r="DN14" s="5"/>
      <c r="DO14" s="5"/>
      <c r="DP14" s="5"/>
      <c r="DQ14" s="5"/>
      <c r="DV14" s="346"/>
    </row>
    <row r="15" spans="1:126" s="800" customFormat="1" ht="15" customHeight="1">
      <c r="A15" s="2435" t="s">
        <v>586</v>
      </c>
      <c r="B15" s="2436" t="s">
        <v>587</v>
      </c>
      <c r="C15" s="965">
        <f t="shared" ref="C15:C16" si="0">SUM(D15:E15)</f>
        <v>0</v>
      </c>
      <c r="D15" s="740">
        <f t="shared" ref="D15:E27" si="1">+F15+H15+J15+L15+N15+P15+R15+T15+V15+X15+Z15+AB15+AD15+AF15+AH15+AJ15+AL15</f>
        <v>0</v>
      </c>
      <c r="E15" s="1125">
        <f t="shared" si="1"/>
        <v>0</v>
      </c>
      <c r="F15" s="699"/>
      <c r="G15" s="700"/>
      <c r="H15" s="699"/>
      <c r="I15" s="700"/>
      <c r="J15" s="699"/>
      <c r="K15" s="700"/>
      <c r="L15" s="699"/>
      <c r="M15" s="700"/>
      <c r="N15" s="699"/>
      <c r="O15" s="700"/>
      <c r="P15" s="699"/>
      <c r="Q15" s="700"/>
      <c r="R15" s="699"/>
      <c r="S15" s="700"/>
      <c r="T15" s="699"/>
      <c r="U15" s="700"/>
      <c r="V15" s="699"/>
      <c r="W15" s="700"/>
      <c r="X15" s="699"/>
      <c r="Y15" s="700"/>
      <c r="Z15" s="699"/>
      <c r="AA15" s="700"/>
      <c r="AB15" s="699"/>
      <c r="AC15" s="700"/>
      <c r="AD15" s="699"/>
      <c r="AE15" s="700"/>
      <c r="AF15" s="699"/>
      <c r="AG15" s="700"/>
      <c r="AH15" s="699"/>
      <c r="AI15" s="700"/>
      <c r="AJ15" s="699"/>
      <c r="AK15" s="700"/>
      <c r="AL15" s="699"/>
      <c r="AM15" s="730"/>
      <c r="AN15" s="1126"/>
      <c r="AO15" s="1127"/>
      <c r="AP15" s="784"/>
      <c r="AQ15" s="700"/>
      <c r="AR15" s="784"/>
      <c r="AS15" s="700"/>
      <c r="AT15" s="783"/>
      <c r="AU15" s="783"/>
      <c r="AV15" s="783"/>
      <c r="AW15" s="783"/>
      <c r="AX15" s="783"/>
      <c r="AY15" s="1121" t="str">
        <f t="shared" ref="AY15:AY56" si="2">CA15&amp;CB15&amp;CC15&amp;CD15&amp;CE15&amp;CF15&amp;CG15&amp;CH15&amp;CI15&amp;CJ15&amp;CK15</f>
        <v/>
      </c>
      <c r="AZ15" s="350"/>
      <c r="BA15" s="350"/>
      <c r="BB15" s="5"/>
      <c r="CA15" s="142" t="str">
        <f t="shared" ref="CA15:CA27" si="3">IF(AND(E15&gt;0,OR(AN15=""))," * No olvide digitar la variable Gestantes. Digite Cero si no tiene.",IF(AN15&gt;E15," * La variable Gestante no puede ser Mayor al Total Mujeres.",""))</f>
        <v/>
      </c>
      <c r="CB15" s="142" t="str">
        <f t="shared" ref="CB15:CB34" si="4">IF(AND(C15&gt;0,OR(AO15=""))," * No olvide digitar la variable Madre de hijo menor de 5 años. Digite Cero si no tiene.",IF(AO15&gt;C15," * La variable Madre de hijo menor de 5 años no puede ser Mayor al Total Mujeres.",""))</f>
        <v/>
      </c>
      <c r="CC15" s="142" t="str">
        <f t="shared" ref="CC15:CC27" si="5">IF(AND(D15&gt;0,OR(AP15=""))," * No olvide digitar la variable Pueblos Originarios Hombres. Digite Cero si no tiene.",IF(AP15&gt;D15," * La variable Pueblos Originarios Hombres no puede ser Mayor al Total Hombres.",""))</f>
        <v/>
      </c>
      <c r="CD15" s="142" t="str">
        <f t="shared" ref="CD15:CD26" si="6">IF(AND(E15&gt;0,OR(AQ15=""))," * No olvide digitar la variable Pueblos Originarios Mujeres. Digite Cero si no tiene.",IF(AQ15&gt;E15," * La variable Pueblos Originarios Mujeres no puede ser Mayor al Total Mujeres.",""))</f>
        <v/>
      </c>
      <c r="CE15" s="142" t="str">
        <f t="shared" ref="CE15:CE27" si="7">IF(AND($D15&gt;0,OR(AR15=""))," * No olvide digitar la variable Migrantes Hombres. Digite Cero si no tiene.",IF(AR15&gt;$D15," * La variable Migrantes Hombres no puede ser Mayor al Total Hombres.",""))</f>
        <v/>
      </c>
      <c r="CF15" s="142" t="str">
        <f t="shared" ref="CF15:CF27" si="8">IF(AND($E15&gt;0,OR(AS15=""))," * No olvide digitar la variable Migrantes Mujeres. Digite Cero si no tiene.",IF(AS15&gt;$E15," * La variable Migrantes Mujeres no puede ser Mayor al Total Mujeres.",""))</f>
        <v/>
      </c>
      <c r="CG15" s="142" t="str">
        <f>IF(AND($C15&gt;0,OR(AT15=""))," * No olvide digitar la variable Niños, Niñas, Adolescentes y Jóvenes SENAME. Digite Cero si no tiene.",IF(AT15&gt;$C15," * La variable Niños, Niñas, Adolescentes y Jóvenes SENAME no puede ser Mayor al Total ambos sexos.",""))</f>
        <v/>
      </c>
      <c r="CH15" s="142" t="str">
        <f>IF(AND($C15&gt;0,OR(AU15=""))," * No olvide digitar la variable Niños y niñas Mejor Niñez. Digite Cero si no tiene.",IF(AU15&gt;$C15," * La variable Niños y niñas Mejor Niñez no puede ser Mayor al Total ambos sexos.",""))</f>
        <v/>
      </c>
      <c r="CI15" s="142" t="str">
        <f t="shared" ref="CI15:CI27" si="9">IF(AND(C15&gt;0,OR(AV15=""))," * No olvide digitar la variable Plan Cuidado Integral Elaborado. Digite Cero si no tiene.",IF($AV15&gt;$C15,"* La variable Plan Cuidado Integral Elaborado debe ser menor o igual al Total de Personas en control. ",""))</f>
        <v/>
      </c>
      <c r="CJ15" s="142" t="str">
        <f t="shared" ref="CJ15:CJ58" si="10">IF(AND(E15&gt;0,OR(AW15=""))," * No olvide digitar la variable Trans Masculino. (Digite Cero si no tiene).",IF(AW15&gt;E15," * La variable Trans Masculino no debe ser mayor al Total Mujeres.",""))</f>
        <v/>
      </c>
      <c r="CK15" s="142" t="str">
        <f t="shared" ref="CK15:CK27" si="11">IF(AND(D15&gt;0,OR(AX15=""))," * No olvide digitar la variable Trans Femenino. (Digite Cero si no tiene).",IF(AX15&gt;D15," * La variable Trans Femenino no debe ser mayor al Total Hombre.",""))</f>
        <v/>
      </c>
      <c r="CL15" s="5"/>
      <c r="CM15" s="5"/>
      <c r="CN15" s="34">
        <f t="shared" ref="CN15:CO30" si="12">IF(AND($E15&gt;0,OR(AN15="")),1,IF(AN15&gt;$E15,1,0))</f>
        <v>0</v>
      </c>
      <c r="CO15" s="34">
        <f t="shared" si="12"/>
        <v>0</v>
      </c>
      <c r="CP15" s="34">
        <f t="shared" ref="CP15:CP27" si="13">IF(AND($D15&gt;0,OR(AP15="")),1,IF(AP15&gt;$D15,1,0))</f>
        <v>0</v>
      </c>
      <c r="CQ15" s="34">
        <f t="shared" ref="CQ15:CQ38" si="14">IF(AND($E15&gt;0,OR(AQ15="")),1,IF(AQ15&gt;$E15,1,0))</f>
        <v>0</v>
      </c>
      <c r="CR15" s="34">
        <f t="shared" ref="CR15:CR27" si="15">IF(AND($D15&gt;0,OR(AR15="")),1,IF(AR15&gt;$D15,1,0))</f>
        <v>0</v>
      </c>
      <c r="CS15" s="34">
        <f t="shared" ref="CS15:CS38" si="16">IF(AND($E15&gt;0,OR(AS15="")),1,IF(AS15&gt;$E15,1,0))</f>
        <v>0</v>
      </c>
      <c r="CT15" s="34">
        <f t="shared" ref="CT15:CV34" si="17">IF(AND($C15&gt;0,OR(AT15="")),1,IF(AT15&gt;$C15,1,0))</f>
        <v>0</v>
      </c>
      <c r="CU15" s="34">
        <f t="shared" si="17"/>
        <v>0</v>
      </c>
      <c r="CV15" s="34">
        <f t="shared" si="17"/>
        <v>0</v>
      </c>
      <c r="CW15" s="34">
        <f t="shared" ref="CW15:CW27" si="18">IF(AND(E15&gt;0,OR(AW15="")),1,IF(AW15&gt;$E15,1,0))</f>
        <v>0</v>
      </c>
      <c r="CX15" s="34">
        <f t="shared" ref="CX15:CX27" si="19">IF(AND(D15&gt;0,OR(AX15="")),1,IF(AX15&gt;$D15,1,0))</f>
        <v>0</v>
      </c>
      <c r="CY15" s="5"/>
      <c r="DK15" s="5"/>
      <c r="DL15" s="5"/>
      <c r="DM15" s="5"/>
      <c r="DN15" s="5"/>
      <c r="DO15" s="5"/>
      <c r="DP15" s="5"/>
      <c r="DQ15" s="5"/>
      <c r="DV15" s="346"/>
    </row>
    <row r="16" spans="1:126" s="800" customFormat="1" ht="15" customHeight="1">
      <c r="A16" s="2437"/>
      <c r="B16" s="2438" t="s">
        <v>588</v>
      </c>
      <c r="C16" s="962">
        <f t="shared" si="0"/>
        <v>0</v>
      </c>
      <c r="D16" s="733">
        <f t="shared" si="1"/>
        <v>0</v>
      </c>
      <c r="E16" s="734">
        <f t="shared" si="1"/>
        <v>0</v>
      </c>
      <c r="F16" s="751"/>
      <c r="G16" s="752"/>
      <c r="H16" s="751"/>
      <c r="I16" s="752"/>
      <c r="J16" s="751"/>
      <c r="K16" s="752"/>
      <c r="L16" s="751"/>
      <c r="M16" s="752"/>
      <c r="N16" s="751"/>
      <c r="O16" s="752"/>
      <c r="P16" s="751"/>
      <c r="Q16" s="752"/>
      <c r="R16" s="751"/>
      <c r="S16" s="752"/>
      <c r="T16" s="751"/>
      <c r="U16" s="752"/>
      <c r="V16" s="751"/>
      <c r="W16" s="752"/>
      <c r="X16" s="751"/>
      <c r="Y16" s="752"/>
      <c r="Z16" s="751"/>
      <c r="AA16" s="752"/>
      <c r="AB16" s="751"/>
      <c r="AC16" s="752"/>
      <c r="AD16" s="751"/>
      <c r="AE16" s="752"/>
      <c r="AF16" s="751"/>
      <c r="AG16" s="752"/>
      <c r="AH16" s="751"/>
      <c r="AI16" s="752"/>
      <c r="AJ16" s="751"/>
      <c r="AK16" s="752"/>
      <c r="AL16" s="751"/>
      <c r="AM16" s="753"/>
      <c r="AN16" s="1128"/>
      <c r="AO16" s="1129"/>
      <c r="AP16" s="789"/>
      <c r="AQ16" s="752"/>
      <c r="AR16" s="789"/>
      <c r="AS16" s="752"/>
      <c r="AT16" s="788"/>
      <c r="AU16" s="788"/>
      <c r="AV16" s="788"/>
      <c r="AW16" s="788"/>
      <c r="AX16" s="788"/>
      <c r="AY16" s="1121" t="str">
        <f t="shared" si="2"/>
        <v/>
      </c>
      <c r="AZ16" s="350"/>
      <c r="BA16" s="350"/>
      <c r="BB16" s="5"/>
      <c r="CA16" s="142" t="str">
        <f t="shared" si="3"/>
        <v/>
      </c>
      <c r="CB16" s="142" t="str">
        <f t="shared" si="4"/>
        <v/>
      </c>
      <c r="CC16" s="142" t="str">
        <f t="shared" si="5"/>
        <v/>
      </c>
      <c r="CD16" s="142" t="str">
        <f t="shared" si="6"/>
        <v/>
      </c>
      <c r="CE16" s="142" t="str">
        <f t="shared" si="7"/>
        <v/>
      </c>
      <c r="CF16" s="142" t="str">
        <f t="shared" si="8"/>
        <v/>
      </c>
      <c r="CG16" s="142" t="str">
        <f t="shared" ref="CG16:CG43" si="20">IF(AND($C16&gt;0,OR(AT16=""))," * No olvide digitar la variable Niños, Niñas, Adolescentes y Jóvenes SENAME. Digite Cero si no tiene.",IF(AT16&gt;$C16," * La variable Niños, Niñas, Adolescentes y Jóvenes SENAME no puede ser Mayor al Total ambos sexos.",""))</f>
        <v/>
      </c>
      <c r="CH16" s="142" t="str">
        <f t="shared" ref="CH16:CH43" si="21">IF(AND($C16&gt;0,OR(AU16=""))," * No olvide digitar la variable Niños y niñas Mejor Niñez. Digite Cero si no tiene.",IF(AU16&gt;$C16," * La variable Niños y niñas Mejor Niñez no puede ser Mayor al Total ambos sexos.",""))</f>
        <v/>
      </c>
      <c r="CI16" s="142" t="str">
        <f t="shared" si="9"/>
        <v/>
      </c>
      <c r="CJ16" s="142" t="str">
        <f t="shared" si="10"/>
        <v/>
      </c>
      <c r="CK16" s="142" t="str">
        <f t="shared" si="11"/>
        <v/>
      </c>
      <c r="CL16" s="5"/>
      <c r="CM16" s="5"/>
      <c r="CN16" s="34">
        <f t="shared" si="12"/>
        <v>0</v>
      </c>
      <c r="CO16" s="34">
        <f t="shared" si="12"/>
        <v>0</v>
      </c>
      <c r="CP16" s="34">
        <f t="shared" si="13"/>
        <v>0</v>
      </c>
      <c r="CQ16" s="34">
        <f t="shared" si="14"/>
        <v>0</v>
      </c>
      <c r="CR16" s="34">
        <f t="shared" si="15"/>
        <v>0</v>
      </c>
      <c r="CS16" s="34">
        <f t="shared" si="16"/>
        <v>0</v>
      </c>
      <c r="CT16" s="34">
        <f t="shared" si="17"/>
        <v>0</v>
      </c>
      <c r="CU16" s="34">
        <f t="shared" si="17"/>
        <v>0</v>
      </c>
      <c r="CV16" s="34">
        <f t="shared" si="17"/>
        <v>0</v>
      </c>
      <c r="CW16" s="34">
        <f t="shared" si="18"/>
        <v>0</v>
      </c>
      <c r="CX16" s="34">
        <f t="shared" si="19"/>
        <v>0</v>
      </c>
      <c r="CY16" s="5"/>
      <c r="DK16" s="5"/>
      <c r="DL16" s="5"/>
      <c r="DM16" s="5"/>
      <c r="DN16" s="5"/>
      <c r="DO16" s="5"/>
      <c r="DP16" s="5"/>
      <c r="DQ16" s="5"/>
      <c r="DV16" s="346"/>
    </row>
    <row r="17" spans="1:126" s="800" customFormat="1" ht="15" customHeight="1">
      <c r="A17" s="2435" t="s">
        <v>589</v>
      </c>
      <c r="B17" s="2436" t="s">
        <v>587</v>
      </c>
      <c r="C17" s="842">
        <f t="shared" ref="C17:C18" si="22">SUM(D17:E17)</f>
        <v>0</v>
      </c>
      <c r="D17" s="740">
        <f t="shared" si="1"/>
        <v>0</v>
      </c>
      <c r="E17" s="1125">
        <f t="shared" si="1"/>
        <v>0</v>
      </c>
      <c r="F17" s="699"/>
      <c r="G17" s="700"/>
      <c r="H17" s="699"/>
      <c r="I17" s="700"/>
      <c r="J17" s="699"/>
      <c r="K17" s="700"/>
      <c r="L17" s="699"/>
      <c r="M17" s="700"/>
      <c r="N17" s="699"/>
      <c r="O17" s="700"/>
      <c r="P17" s="699"/>
      <c r="Q17" s="700"/>
      <c r="R17" s="699"/>
      <c r="S17" s="700"/>
      <c r="T17" s="699"/>
      <c r="U17" s="700"/>
      <c r="V17" s="699"/>
      <c r="W17" s="700"/>
      <c r="X17" s="699"/>
      <c r="Y17" s="700"/>
      <c r="Z17" s="699"/>
      <c r="AA17" s="700"/>
      <c r="AB17" s="699"/>
      <c r="AC17" s="700"/>
      <c r="AD17" s="699"/>
      <c r="AE17" s="700"/>
      <c r="AF17" s="699"/>
      <c r="AG17" s="700"/>
      <c r="AH17" s="699"/>
      <c r="AI17" s="700"/>
      <c r="AJ17" s="699"/>
      <c r="AK17" s="700"/>
      <c r="AL17" s="699"/>
      <c r="AM17" s="730"/>
      <c r="AN17" s="1126"/>
      <c r="AO17" s="1127"/>
      <c r="AP17" s="784"/>
      <c r="AQ17" s="700"/>
      <c r="AR17" s="784"/>
      <c r="AS17" s="700"/>
      <c r="AT17" s="783"/>
      <c r="AU17" s="783"/>
      <c r="AV17" s="783"/>
      <c r="AW17" s="783"/>
      <c r="AX17" s="783"/>
      <c r="AY17" s="1121" t="str">
        <f t="shared" si="2"/>
        <v/>
      </c>
      <c r="AZ17" s="350"/>
      <c r="BA17" s="350"/>
      <c r="BB17" s="5"/>
      <c r="CA17" s="142" t="str">
        <f t="shared" si="3"/>
        <v/>
      </c>
      <c r="CB17" s="142" t="str">
        <f t="shared" si="4"/>
        <v/>
      </c>
      <c r="CC17" s="142" t="str">
        <f t="shared" si="5"/>
        <v/>
      </c>
      <c r="CD17" s="142" t="str">
        <f t="shared" si="6"/>
        <v/>
      </c>
      <c r="CE17" s="142" t="str">
        <f t="shared" si="7"/>
        <v/>
      </c>
      <c r="CF17" s="142" t="str">
        <f t="shared" si="8"/>
        <v/>
      </c>
      <c r="CG17" s="142" t="str">
        <f t="shared" si="20"/>
        <v/>
      </c>
      <c r="CH17" s="142" t="str">
        <f t="shared" si="21"/>
        <v/>
      </c>
      <c r="CI17" s="142" t="str">
        <f t="shared" si="9"/>
        <v/>
      </c>
      <c r="CJ17" s="142" t="str">
        <f t="shared" si="10"/>
        <v/>
      </c>
      <c r="CK17" s="142" t="str">
        <f t="shared" si="11"/>
        <v/>
      </c>
      <c r="CL17" s="5"/>
      <c r="CM17" s="5"/>
      <c r="CN17" s="34">
        <f t="shared" si="12"/>
        <v>0</v>
      </c>
      <c r="CO17" s="34">
        <f t="shared" si="12"/>
        <v>0</v>
      </c>
      <c r="CP17" s="34">
        <f t="shared" si="13"/>
        <v>0</v>
      </c>
      <c r="CQ17" s="34">
        <f t="shared" si="14"/>
        <v>0</v>
      </c>
      <c r="CR17" s="34">
        <f t="shared" si="15"/>
        <v>0</v>
      </c>
      <c r="CS17" s="34">
        <f t="shared" si="16"/>
        <v>0</v>
      </c>
      <c r="CT17" s="34">
        <f t="shared" si="17"/>
        <v>0</v>
      </c>
      <c r="CU17" s="34">
        <f t="shared" si="17"/>
        <v>0</v>
      </c>
      <c r="CV17" s="34">
        <f t="shared" si="17"/>
        <v>0</v>
      </c>
      <c r="CW17" s="34">
        <f t="shared" si="18"/>
        <v>0</v>
      </c>
      <c r="CX17" s="34">
        <f t="shared" si="19"/>
        <v>0</v>
      </c>
      <c r="CY17" s="5"/>
      <c r="DK17" s="5"/>
      <c r="DL17" s="5"/>
      <c r="DM17" s="5"/>
      <c r="DN17" s="5"/>
      <c r="DO17" s="5"/>
      <c r="DP17" s="5"/>
      <c r="DQ17" s="5"/>
      <c r="DV17" s="346"/>
    </row>
    <row r="18" spans="1:126" s="800" customFormat="1" ht="15" customHeight="1">
      <c r="A18" s="2439"/>
      <c r="B18" s="2438" t="s">
        <v>588</v>
      </c>
      <c r="C18" s="840">
        <f t="shared" si="22"/>
        <v>0</v>
      </c>
      <c r="D18" s="733">
        <f t="shared" si="1"/>
        <v>0</v>
      </c>
      <c r="E18" s="734">
        <f t="shared" si="1"/>
        <v>0</v>
      </c>
      <c r="F18" s="751"/>
      <c r="G18" s="752"/>
      <c r="H18" s="751"/>
      <c r="I18" s="752"/>
      <c r="J18" s="751"/>
      <c r="K18" s="752"/>
      <c r="L18" s="751"/>
      <c r="M18" s="752"/>
      <c r="N18" s="751"/>
      <c r="O18" s="752"/>
      <c r="P18" s="751"/>
      <c r="Q18" s="752"/>
      <c r="R18" s="751"/>
      <c r="S18" s="752"/>
      <c r="T18" s="751"/>
      <c r="U18" s="752"/>
      <c r="V18" s="751"/>
      <c r="W18" s="752"/>
      <c r="X18" s="751"/>
      <c r="Y18" s="752"/>
      <c r="Z18" s="751"/>
      <c r="AA18" s="752"/>
      <c r="AB18" s="751"/>
      <c r="AC18" s="752"/>
      <c r="AD18" s="751"/>
      <c r="AE18" s="752"/>
      <c r="AF18" s="751"/>
      <c r="AG18" s="752"/>
      <c r="AH18" s="751"/>
      <c r="AI18" s="752"/>
      <c r="AJ18" s="751"/>
      <c r="AK18" s="752"/>
      <c r="AL18" s="751"/>
      <c r="AM18" s="753"/>
      <c r="AN18" s="1128"/>
      <c r="AO18" s="1129"/>
      <c r="AP18" s="789"/>
      <c r="AQ18" s="752"/>
      <c r="AR18" s="789"/>
      <c r="AS18" s="752"/>
      <c r="AT18" s="788"/>
      <c r="AU18" s="788"/>
      <c r="AV18" s="788"/>
      <c r="AW18" s="788"/>
      <c r="AX18" s="788"/>
      <c r="AY18" s="1121" t="str">
        <f t="shared" si="2"/>
        <v/>
      </c>
      <c r="AZ18" s="350"/>
      <c r="BA18" s="350"/>
      <c r="BB18" s="5"/>
      <c r="CA18" s="142" t="str">
        <f t="shared" si="3"/>
        <v/>
      </c>
      <c r="CB18" s="142" t="str">
        <f t="shared" si="4"/>
        <v/>
      </c>
      <c r="CC18" s="142" t="str">
        <f t="shared" si="5"/>
        <v/>
      </c>
      <c r="CD18" s="142" t="str">
        <f t="shared" si="6"/>
        <v/>
      </c>
      <c r="CE18" s="142" t="str">
        <f t="shared" si="7"/>
        <v/>
      </c>
      <c r="CF18" s="142" t="str">
        <f t="shared" si="8"/>
        <v/>
      </c>
      <c r="CG18" s="142" t="str">
        <f t="shared" si="20"/>
        <v/>
      </c>
      <c r="CH18" s="142" t="str">
        <f t="shared" si="21"/>
        <v/>
      </c>
      <c r="CI18" s="142" t="str">
        <f t="shared" si="9"/>
        <v/>
      </c>
      <c r="CJ18" s="142" t="str">
        <f t="shared" si="10"/>
        <v/>
      </c>
      <c r="CK18" s="142" t="str">
        <f t="shared" si="11"/>
        <v/>
      </c>
      <c r="CL18" s="5"/>
      <c r="CM18" s="5"/>
      <c r="CN18" s="34">
        <f t="shared" si="12"/>
        <v>0</v>
      </c>
      <c r="CO18" s="34">
        <f t="shared" si="12"/>
        <v>0</v>
      </c>
      <c r="CP18" s="34">
        <f t="shared" si="13"/>
        <v>0</v>
      </c>
      <c r="CQ18" s="34">
        <f t="shared" si="14"/>
        <v>0</v>
      </c>
      <c r="CR18" s="34">
        <f t="shared" si="15"/>
        <v>0</v>
      </c>
      <c r="CS18" s="34">
        <f t="shared" si="16"/>
        <v>0</v>
      </c>
      <c r="CT18" s="34">
        <f t="shared" si="17"/>
        <v>0</v>
      </c>
      <c r="CU18" s="34">
        <f t="shared" si="17"/>
        <v>0</v>
      </c>
      <c r="CV18" s="34">
        <f t="shared" si="17"/>
        <v>0</v>
      </c>
      <c r="CW18" s="34">
        <f t="shared" si="18"/>
        <v>0</v>
      </c>
      <c r="CX18" s="34">
        <f t="shared" si="19"/>
        <v>0</v>
      </c>
      <c r="CY18" s="5"/>
      <c r="DK18" s="5"/>
      <c r="DL18" s="5"/>
      <c r="DM18" s="5"/>
      <c r="DN18" s="5"/>
      <c r="DO18" s="5"/>
      <c r="DP18" s="5"/>
      <c r="DQ18" s="5"/>
      <c r="DV18" s="346"/>
    </row>
    <row r="19" spans="1:126" s="800" customFormat="1" ht="15" customHeight="1">
      <c r="A19" s="2435" t="s">
        <v>590</v>
      </c>
      <c r="B19" s="2436" t="s">
        <v>587</v>
      </c>
      <c r="C19" s="842">
        <f t="shared" ref="C19:C20" si="23">SUM(D19:E19)</f>
        <v>0</v>
      </c>
      <c r="D19" s="740">
        <f>+F19+H19+J19+L19+N19+P19+R19+T19+V19+X19+Z19+AB19+AD19+AF19+AH19+AJ19+AL19</f>
        <v>0</v>
      </c>
      <c r="E19" s="1125">
        <f t="shared" si="1"/>
        <v>0</v>
      </c>
      <c r="F19" s="699"/>
      <c r="G19" s="700"/>
      <c r="H19" s="699"/>
      <c r="I19" s="700"/>
      <c r="J19" s="699"/>
      <c r="K19" s="700"/>
      <c r="L19" s="699"/>
      <c r="M19" s="700"/>
      <c r="N19" s="699"/>
      <c r="O19" s="700"/>
      <c r="P19" s="699"/>
      <c r="Q19" s="700"/>
      <c r="R19" s="699"/>
      <c r="S19" s="700"/>
      <c r="T19" s="699"/>
      <c r="U19" s="700"/>
      <c r="V19" s="699"/>
      <c r="W19" s="700"/>
      <c r="X19" s="699"/>
      <c r="Y19" s="700"/>
      <c r="Z19" s="699"/>
      <c r="AA19" s="700"/>
      <c r="AB19" s="699"/>
      <c r="AC19" s="700"/>
      <c r="AD19" s="699"/>
      <c r="AE19" s="700"/>
      <c r="AF19" s="699"/>
      <c r="AG19" s="700"/>
      <c r="AH19" s="699"/>
      <c r="AI19" s="700"/>
      <c r="AJ19" s="699"/>
      <c r="AK19" s="700"/>
      <c r="AL19" s="699"/>
      <c r="AM19" s="730"/>
      <c r="AN19" s="1126"/>
      <c r="AO19" s="1127"/>
      <c r="AP19" s="784"/>
      <c r="AQ19" s="700"/>
      <c r="AR19" s="784"/>
      <c r="AS19" s="700"/>
      <c r="AT19" s="783"/>
      <c r="AU19" s="783"/>
      <c r="AV19" s="783"/>
      <c r="AW19" s="783"/>
      <c r="AX19" s="783"/>
      <c r="AY19" s="1121" t="str">
        <f t="shared" si="2"/>
        <v/>
      </c>
      <c r="AZ19" s="350"/>
      <c r="BA19" s="350"/>
      <c r="BB19" s="5"/>
      <c r="CA19" s="142" t="str">
        <f t="shared" si="3"/>
        <v/>
      </c>
      <c r="CB19" s="142" t="str">
        <f t="shared" si="4"/>
        <v/>
      </c>
      <c r="CC19" s="142" t="str">
        <f t="shared" si="5"/>
        <v/>
      </c>
      <c r="CD19" s="142" t="str">
        <f t="shared" si="6"/>
        <v/>
      </c>
      <c r="CE19" s="142" t="str">
        <f t="shared" si="7"/>
        <v/>
      </c>
      <c r="CF19" s="142" t="str">
        <f t="shared" si="8"/>
        <v/>
      </c>
      <c r="CG19" s="142" t="str">
        <f t="shared" si="20"/>
        <v/>
      </c>
      <c r="CH19" s="142" t="str">
        <f t="shared" si="21"/>
        <v/>
      </c>
      <c r="CI19" s="142" t="str">
        <f t="shared" si="9"/>
        <v/>
      </c>
      <c r="CJ19" s="142" t="str">
        <f t="shared" si="10"/>
        <v/>
      </c>
      <c r="CK19" s="142" t="str">
        <f t="shared" si="11"/>
        <v/>
      </c>
      <c r="CL19" s="5"/>
      <c r="CM19" s="5"/>
      <c r="CN19" s="34">
        <f t="shared" si="12"/>
        <v>0</v>
      </c>
      <c r="CO19" s="34">
        <f t="shared" si="12"/>
        <v>0</v>
      </c>
      <c r="CP19" s="34">
        <f t="shared" si="13"/>
        <v>0</v>
      </c>
      <c r="CQ19" s="34">
        <f t="shared" si="14"/>
        <v>0</v>
      </c>
      <c r="CR19" s="34">
        <f t="shared" si="15"/>
        <v>0</v>
      </c>
      <c r="CS19" s="34">
        <f t="shared" si="16"/>
        <v>0</v>
      </c>
      <c r="CT19" s="34">
        <f t="shared" si="17"/>
        <v>0</v>
      </c>
      <c r="CU19" s="34">
        <f t="shared" si="17"/>
        <v>0</v>
      </c>
      <c r="CV19" s="34">
        <f t="shared" si="17"/>
        <v>0</v>
      </c>
      <c r="CW19" s="34">
        <f t="shared" si="18"/>
        <v>0</v>
      </c>
      <c r="CX19" s="34">
        <f t="shared" si="19"/>
        <v>0</v>
      </c>
      <c r="CY19" s="5"/>
      <c r="DK19" s="5"/>
      <c r="DL19" s="5"/>
      <c r="DM19" s="5"/>
      <c r="DN19" s="5"/>
      <c r="DO19" s="5"/>
      <c r="DP19" s="5"/>
      <c r="DQ19" s="5"/>
      <c r="DR19" s="5"/>
      <c r="DS19" s="5"/>
      <c r="DT19" s="5"/>
      <c r="DV19" s="346"/>
    </row>
    <row r="20" spans="1:126" s="800" customFormat="1" ht="15" customHeight="1">
      <c r="A20" s="2439"/>
      <c r="B20" s="2438" t="s">
        <v>588</v>
      </c>
      <c r="C20" s="840">
        <f t="shared" si="23"/>
        <v>0</v>
      </c>
      <c r="D20" s="733">
        <f t="shared" ref="D20:D27" si="24">+F20+H20+J20+L20+N20+P20+R20+T20+V20+X20+Z20+AB20+AD20+AF20+AH20+AJ20+AL20</f>
        <v>0</v>
      </c>
      <c r="E20" s="1131">
        <f t="shared" si="1"/>
        <v>0</v>
      </c>
      <c r="F20" s="722"/>
      <c r="G20" s="723"/>
      <c r="H20" s="722"/>
      <c r="I20" s="723"/>
      <c r="J20" s="722"/>
      <c r="K20" s="723"/>
      <c r="L20" s="722"/>
      <c r="M20" s="723"/>
      <c r="N20" s="722"/>
      <c r="O20" s="723"/>
      <c r="P20" s="722"/>
      <c r="Q20" s="723"/>
      <c r="R20" s="722"/>
      <c r="S20" s="723"/>
      <c r="T20" s="722"/>
      <c r="U20" s="723"/>
      <c r="V20" s="722"/>
      <c r="W20" s="723"/>
      <c r="X20" s="722"/>
      <c r="Y20" s="723"/>
      <c r="Z20" s="722"/>
      <c r="AA20" s="723"/>
      <c r="AB20" s="722"/>
      <c r="AC20" s="723"/>
      <c r="AD20" s="722"/>
      <c r="AE20" s="723"/>
      <c r="AF20" s="722"/>
      <c r="AG20" s="723"/>
      <c r="AH20" s="722"/>
      <c r="AI20" s="723"/>
      <c r="AJ20" s="722"/>
      <c r="AK20" s="723"/>
      <c r="AL20" s="722"/>
      <c r="AM20" s="762"/>
      <c r="AN20" s="1132"/>
      <c r="AO20" s="1133"/>
      <c r="AP20" s="852"/>
      <c r="AQ20" s="723"/>
      <c r="AR20" s="852"/>
      <c r="AS20" s="723"/>
      <c r="AT20" s="850"/>
      <c r="AU20" s="850"/>
      <c r="AV20" s="850"/>
      <c r="AW20" s="850"/>
      <c r="AX20" s="850"/>
      <c r="AY20" s="1121" t="str">
        <f t="shared" si="2"/>
        <v/>
      </c>
      <c r="AZ20" s="350"/>
      <c r="BA20" s="350"/>
      <c r="BB20" s="5"/>
      <c r="CA20" s="142" t="str">
        <f t="shared" si="3"/>
        <v/>
      </c>
      <c r="CB20" s="142" t="str">
        <f t="shared" si="4"/>
        <v/>
      </c>
      <c r="CC20" s="142" t="str">
        <f t="shared" si="5"/>
        <v/>
      </c>
      <c r="CD20" s="142" t="str">
        <f t="shared" si="6"/>
        <v/>
      </c>
      <c r="CE20" s="142" t="str">
        <f t="shared" si="7"/>
        <v/>
      </c>
      <c r="CF20" s="142" t="str">
        <f t="shared" si="8"/>
        <v/>
      </c>
      <c r="CG20" s="142" t="str">
        <f t="shared" si="20"/>
        <v/>
      </c>
      <c r="CH20" s="142" t="str">
        <f t="shared" si="21"/>
        <v/>
      </c>
      <c r="CI20" s="142" t="str">
        <f t="shared" si="9"/>
        <v/>
      </c>
      <c r="CJ20" s="142" t="str">
        <f t="shared" si="10"/>
        <v/>
      </c>
      <c r="CK20" s="142" t="str">
        <f t="shared" si="11"/>
        <v/>
      </c>
      <c r="CL20" s="5"/>
      <c r="CM20" s="5"/>
      <c r="CN20" s="34">
        <f t="shared" si="12"/>
        <v>0</v>
      </c>
      <c r="CO20" s="34">
        <f t="shared" si="12"/>
        <v>0</v>
      </c>
      <c r="CP20" s="34">
        <f t="shared" si="13"/>
        <v>0</v>
      </c>
      <c r="CQ20" s="34">
        <f t="shared" si="14"/>
        <v>0</v>
      </c>
      <c r="CR20" s="34">
        <f t="shared" si="15"/>
        <v>0</v>
      </c>
      <c r="CS20" s="34">
        <f t="shared" si="16"/>
        <v>0</v>
      </c>
      <c r="CT20" s="34">
        <f t="shared" si="17"/>
        <v>0</v>
      </c>
      <c r="CU20" s="34">
        <f t="shared" si="17"/>
        <v>0</v>
      </c>
      <c r="CV20" s="34">
        <f t="shared" si="17"/>
        <v>0</v>
      </c>
      <c r="CW20" s="34">
        <f t="shared" si="18"/>
        <v>0</v>
      </c>
      <c r="CX20" s="34">
        <f t="shared" si="19"/>
        <v>0</v>
      </c>
      <c r="CY20" s="5"/>
      <c r="DK20" s="5"/>
      <c r="DL20" s="5"/>
      <c r="DM20" s="5"/>
      <c r="DN20" s="5"/>
      <c r="DO20" s="5"/>
      <c r="DP20" s="5"/>
      <c r="DQ20" s="5"/>
      <c r="DR20" s="5"/>
      <c r="DS20" s="5"/>
      <c r="DT20" s="5"/>
      <c r="DV20" s="346"/>
    </row>
    <row r="21" spans="1:126" s="800" customFormat="1" ht="15" customHeight="1">
      <c r="A21" s="2230" t="s">
        <v>591</v>
      </c>
      <c r="B21" s="2230"/>
      <c r="C21" s="1259">
        <f t="shared" ref="C21:C24" si="25">SUM(D21:E21)</f>
        <v>0</v>
      </c>
      <c r="D21" s="777">
        <f t="shared" si="24"/>
        <v>0</v>
      </c>
      <c r="E21" s="1134">
        <f t="shared" si="1"/>
        <v>0</v>
      </c>
      <c r="F21" s="748"/>
      <c r="G21" s="749"/>
      <c r="H21" s="748"/>
      <c r="I21" s="749"/>
      <c r="J21" s="748"/>
      <c r="K21" s="749"/>
      <c r="L21" s="748"/>
      <c r="M21" s="749"/>
      <c r="N21" s="748"/>
      <c r="O21" s="749"/>
      <c r="P21" s="748"/>
      <c r="Q21" s="749"/>
      <c r="R21" s="748"/>
      <c r="S21" s="749"/>
      <c r="T21" s="748"/>
      <c r="U21" s="749"/>
      <c r="V21" s="748"/>
      <c r="W21" s="749"/>
      <c r="X21" s="748"/>
      <c r="Y21" s="749"/>
      <c r="Z21" s="748"/>
      <c r="AA21" s="749"/>
      <c r="AB21" s="748"/>
      <c r="AC21" s="749"/>
      <c r="AD21" s="748"/>
      <c r="AE21" s="749"/>
      <c r="AF21" s="748"/>
      <c r="AG21" s="749"/>
      <c r="AH21" s="748"/>
      <c r="AI21" s="749"/>
      <c r="AJ21" s="748"/>
      <c r="AK21" s="749"/>
      <c r="AL21" s="748"/>
      <c r="AM21" s="750"/>
      <c r="AN21" s="1135"/>
      <c r="AO21" s="1136"/>
      <c r="AP21" s="795"/>
      <c r="AQ21" s="749"/>
      <c r="AR21" s="795"/>
      <c r="AS21" s="749"/>
      <c r="AT21" s="794"/>
      <c r="AU21" s="794"/>
      <c r="AV21" s="794"/>
      <c r="AW21" s="794"/>
      <c r="AX21" s="794"/>
      <c r="AY21" s="1121" t="str">
        <f t="shared" si="2"/>
        <v/>
      </c>
      <c r="AZ21" s="350"/>
      <c r="BA21" s="350"/>
      <c r="BB21" s="5"/>
      <c r="CA21" s="142" t="str">
        <f t="shared" si="3"/>
        <v/>
      </c>
      <c r="CB21" s="142" t="str">
        <f t="shared" si="4"/>
        <v/>
      </c>
      <c r="CC21" s="142" t="str">
        <f t="shared" si="5"/>
        <v/>
      </c>
      <c r="CD21" s="142" t="str">
        <f t="shared" si="6"/>
        <v/>
      </c>
      <c r="CE21" s="142" t="str">
        <f t="shared" si="7"/>
        <v/>
      </c>
      <c r="CF21" s="142" t="str">
        <f t="shared" si="8"/>
        <v/>
      </c>
      <c r="CG21" s="142" t="str">
        <f t="shared" si="20"/>
        <v/>
      </c>
      <c r="CH21" s="142" t="str">
        <f t="shared" si="21"/>
        <v/>
      </c>
      <c r="CI21" s="142" t="str">
        <f t="shared" si="9"/>
        <v/>
      </c>
      <c r="CJ21" s="142" t="str">
        <f t="shared" si="10"/>
        <v/>
      </c>
      <c r="CK21" s="142" t="str">
        <f t="shared" si="11"/>
        <v/>
      </c>
      <c r="CL21" s="5"/>
      <c r="CM21" s="5"/>
      <c r="CN21" s="34">
        <f t="shared" si="12"/>
        <v>0</v>
      </c>
      <c r="CO21" s="34">
        <f t="shared" si="12"/>
        <v>0</v>
      </c>
      <c r="CP21" s="34">
        <f t="shared" si="13"/>
        <v>0</v>
      </c>
      <c r="CQ21" s="34">
        <f t="shared" si="14"/>
        <v>0</v>
      </c>
      <c r="CR21" s="34">
        <f t="shared" si="15"/>
        <v>0</v>
      </c>
      <c r="CS21" s="34">
        <f t="shared" si="16"/>
        <v>0</v>
      </c>
      <c r="CT21" s="34">
        <f t="shared" si="17"/>
        <v>0</v>
      </c>
      <c r="CU21" s="34">
        <f t="shared" si="17"/>
        <v>0</v>
      </c>
      <c r="CV21" s="34">
        <f t="shared" si="17"/>
        <v>0</v>
      </c>
      <c r="CW21" s="34">
        <f t="shared" si="18"/>
        <v>0</v>
      </c>
      <c r="CX21" s="34">
        <f t="shared" si="19"/>
        <v>0</v>
      </c>
      <c r="CY21" s="5"/>
      <c r="DK21" s="5"/>
      <c r="DL21" s="5"/>
      <c r="DM21" s="5"/>
      <c r="DN21" s="5"/>
      <c r="DO21" s="5"/>
      <c r="DP21" s="5"/>
      <c r="DQ21" s="5"/>
      <c r="DR21" s="5"/>
      <c r="DS21" s="5"/>
      <c r="DT21" s="5"/>
      <c r="DV21" s="346"/>
    </row>
    <row r="22" spans="1:126" s="800" customFormat="1" ht="15" customHeight="1">
      <c r="A22" s="2231" t="s">
        <v>592</v>
      </c>
      <c r="B22" s="1124" t="s">
        <v>593</v>
      </c>
      <c r="C22" s="1259">
        <f t="shared" si="25"/>
        <v>0</v>
      </c>
      <c r="D22" s="697">
        <f>+H22+J22+L22+N22+P22+R22+T22+V22+X22+Z22+AB22+AD22+AF22+AH22+AJ22+AL22</f>
        <v>0</v>
      </c>
      <c r="E22" s="1137">
        <f>+I22+K22+M22+O22+Q22+S22+U22+W22+Y22+AA22+AC22+AE22+AG22+AI22+AK22+AM22</f>
        <v>0</v>
      </c>
      <c r="F22" s="1138"/>
      <c r="G22" s="702"/>
      <c r="H22" s="699"/>
      <c r="I22" s="700"/>
      <c r="J22" s="699"/>
      <c r="K22" s="700"/>
      <c r="L22" s="699"/>
      <c r="M22" s="700"/>
      <c r="N22" s="699"/>
      <c r="O22" s="700"/>
      <c r="P22" s="699"/>
      <c r="Q22" s="700"/>
      <c r="R22" s="699"/>
      <c r="S22" s="700"/>
      <c r="T22" s="699"/>
      <c r="U22" s="700"/>
      <c r="V22" s="699"/>
      <c r="W22" s="700"/>
      <c r="X22" s="699"/>
      <c r="Y22" s="700"/>
      <c r="Z22" s="699"/>
      <c r="AA22" s="700"/>
      <c r="AB22" s="699"/>
      <c r="AC22" s="700"/>
      <c r="AD22" s="699"/>
      <c r="AE22" s="700"/>
      <c r="AF22" s="699"/>
      <c r="AG22" s="700"/>
      <c r="AH22" s="699"/>
      <c r="AI22" s="700"/>
      <c r="AJ22" s="699"/>
      <c r="AK22" s="700"/>
      <c r="AL22" s="699"/>
      <c r="AM22" s="730"/>
      <c r="AN22" s="1126"/>
      <c r="AO22" s="1127"/>
      <c r="AP22" s="784"/>
      <c r="AQ22" s="700"/>
      <c r="AR22" s="784"/>
      <c r="AS22" s="700"/>
      <c r="AT22" s="783"/>
      <c r="AU22" s="783"/>
      <c r="AV22" s="783"/>
      <c r="AW22" s="783"/>
      <c r="AX22" s="783"/>
      <c r="AY22" s="1121" t="str">
        <f t="shared" si="2"/>
        <v/>
      </c>
      <c r="AZ22" s="350"/>
      <c r="BA22" s="350"/>
      <c r="BB22" s="5"/>
      <c r="CA22" s="142" t="str">
        <f t="shared" si="3"/>
        <v/>
      </c>
      <c r="CB22" s="142" t="str">
        <f t="shared" si="4"/>
        <v/>
      </c>
      <c r="CC22" s="142" t="str">
        <f t="shared" si="5"/>
        <v/>
      </c>
      <c r="CD22" s="142" t="str">
        <f t="shared" si="6"/>
        <v/>
      </c>
      <c r="CE22" s="142" t="str">
        <f t="shared" si="7"/>
        <v/>
      </c>
      <c r="CF22" s="142" t="str">
        <f t="shared" si="8"/>
        <v/>
      </c>
      <c r="CG22" s="142" t="str">
        <f t="shared" si="20"/>
        <v/>
      </c>
      <c r="CH22" s="142" t="str">
        <f t="shared" si="21"/>
        <v/>
      </c>
      <c r="CI22" s="142" t="str">
        <f t="shared" si="9"/>
        <v/>
      </c>
      <c r="CJ22" s="142" t="str">
        <f t="shared" si="10"/>
        <v/>
      </c>
      <c r="CK22" s="142" t="str">
        <f t="shared" si="11"/>
        <v/>
      </c>
      <c r="CL22" s="5"/>
      <c r="CM22" s="5"/>
      <c r="CN22" s="34">
        <f t="shared" si="12"/>
        <v>0</v>
      </c>
      <c r="CO22" s="34">
        <f t="shared" si="12"/>
        <v>0</v>
      </c>
      <c r="CP22" s="34">
        <f t="shared" si="13"/>
        <v>0</v>
      </c>
      <c r="CQ22" s="34">
        <f t="shared" si="14"/>
        <v>0</v>
      </c>
      <c r="CR22" s="34">
        <f t="shared" si="15"/>
        <v>0</v>
      </c>
      <c r="CS22" s="34">
        <f t="shared" si="16"/>
        <v>0</v>
      </c>
      <c r="CT22" s="34">
        <f t="shared" si="17"/>
        <v>0</v>
      </c>
      <c r="CU22" s="34">
        <f t="shared" si="17"/>
        <v>0</v>
      </c>
      <c r="CV22" s="34">
        <f t="shared" si="17"/>
        <v>0</v>
      </c>
      <c r="CW22" s="34">
        <f t="shared" si="18"/>
        <v>0</v>
      </c>
      <c r="CX22" s="34">
        <f t="shared" si="19"/>
        <v>0</v>
      </c>
      <c r="CY22" s="5"/>
      <c r="DK22" s="5"/>
      <c r="DL22" s="5"/>
      <c r="DM22" s="5"/>
      <c r="DN22" s="5"/>
      <c r="DO22" s="5"/>
      <c r="DP22" s="5"/>
      <c r="DQ22" s="5"/>
      <c r="DR22" s="5"/>
      <c r="DS22" s="5"/>
      <c r="DT22" s="5"/>
      <c r="DV22" s="346"/>
    </row>
    <row r="23" spans="1:126" s="800" customFormat="1" ht="15" customHeight="1">
      <c r="A23" s="2232"/>
      <c r="B23" s="1130" t="s">
        <v>594</v>
      </c>
      <c r="C23" s="1259">
        <f t="shared" si="25"/>
        <v>0</v>
      </c>
      <c r="D23" s="777">
        <f>+H23+J23+L23+N23+P23+R23+T23+V23+X23+Z23+AB23+AD23+AF23+AH23+AJ23+AL23</f>
        <v>0</v>
      </c>
      <c r="E23" s="1134">
        <f>+I23+K23+M23+O23+Q23+S23+U23+W23+Y23+AA23+AC23+AE23+AG23+AI23+AK23+AM23</f>
        <v>0</v>
      </c>
      <c r="F23" s="746"/>
      <c r="G23" s="747"/>
      <c r="H23" s="748"/>
      <c r="I23" s="749"/>
      <c r="J23" s="748"/>
      <c r="K23" s="749"/>
      <c r="L23" s="748"/>
      <c r="M23" s="749"/>
      <c r="N23" s="748"/>
      <c r="O23" s="749"/>
      <c r="P23" s="748"/>
      <c r="Q23" s="749"/>
      <c r="R23" s="748"/>
      <c r="S23" s="749"/>
      <c r="T23" s="748"/>
      <c r="U23" s="749"/>
      <c r="V23" s="748"/>
      <c r="W23" s="749"/>
      <c r="X23" s="748"/>
      <c r="Y23" s="749"/>
      <c r="Z23" s="748"/>
      <c r="AA23" s="749"/>
      <c r="AB23" s="748"/>
      <c r="AC23" s="749"/>
      <c r="AD23" s="748"/>
      <c r="AE23" s="749"/>
      <c r="AF23" s="748"/>
      <c r="AG23" s="749"/>
      <c r="AH23" s="748"/>
      <c r="AI23" s="749"/>
      <c r="AJ23" s="748"/>
      <c r="AK23" s="749"/>
      <c r="AL23" s="748"/>
      <c r="AM23" s="750"/>
      <c r="AN23" s="1135"/>
      <c r="AO23" s="1136"/>
      <c r="AP23" s="795"/>
      <c r="AQ23" s="749"/>
      <c r="AR23" s="795"/>
      <c r="AS23" s="749"/>
      <c r="AT23" s="794"/>
      <c r="AU23" s="794"/>
      <c r="AV23" s="794"/>
      <c r="AW23" s="794"/>
      <c r="AX23" s="794"/>
      <c r="AY23" s="1121" t="str">
        <f t="shared" si="2"/>
        <v/>
      </c>
      <c r="AZ23" s="350"/>
      <c r="BA23" s="350"/>
      <c r="BB23" s="5"/>
      <c r="CA23" s="142" t="str">
        <f t="shared" si="3"/>
        <v/>
      </c>
      <c r="CB23" s="142" t="str">
        <f t="shared" si="4"/>
        <v/>
      </c>
      <c r="CC23" s="142" t="str">
        <f t="shared" si="5"/>
        <v/>
      </c>
      <c r="CD23" s="142" t="str">
        <f t="shared" si="6"/>
        <v/>
      </c>
      <c r="CE23" s="142" t="str">
        <f t="shared" si="7"/>
        <v/>
      </c>
      <c r="CF23" s="142" t="str">
        <f t="shared" si="8"/>
        <v/>
      </c>
      <c r="CG23" s="142" t="str">
        <f t="shared" si="20"/>
        <v/>
      </c>
      <c r="CH23" s="142" t="str">
        <f t="shared" si="21"/>
        <v/>
      </c>
      <c r="CI23" s="142" t="str">
        <f t="shared" si="9"/>
        <v/>
      </c>
      <c r="CJ23" s="142" t="str">
        <f t="shared" si="10"/>
        <v/>
      </c>
      <c r="CK23" s="142" t="str">
        <f t="shared" si="11"/>
        <v/>
      </c>
      <c r="CL23" s="5"/>
      <c r="CM23" s="5"/>
      <c r="CN23" s="34">
        <f t="shared" si="12"/>
        <v>0</v>
      </c>
      <c r="CO23" s="34">
        <f t="shared" si="12"/>
        <v>0</v>
      </c>
      <c r="CP23" s="34">
        <f t="shared" si="13"/>
        <v>0</v>
      </c>
      <c r="CQ23" s="34">
        <f t="shared" si="14"/>
        <v>0</v>
      </c>
      <c r="CR23" s="34">
        <f t="shared" si="15"/>
        <v>0</v>
      </c>
      <c r="CS23" s="34">
        <f t="shared" si="16"/>
        <v>0</v>
      </c>
      <c r="CT23" s="34">
        <f t="shared" si="17"/>
        <v>0</v>
      </c>
      <c r="CU23" s="34">
        <f t="shared" si="17"/>
        <v>0</v>
      </c>
      <c r="CV23" s="34">
        <f t="shared" si="17"/>
        <v>0</v>
      </c>
      <c r="CW23" s="34">
        <f t="shared" si="18"/>
        <v>0</v>
      </c>
      <c r="CX23" s="34">
        <f t="shared" si="19"/>
        <v>0</v>
      </c>
      <c r="CY23" s="5"/>
      <c r="DK23" s="5"/>
      <c r="DL23" s="5"/>
      <c r="DM23" s="5"/>
      <c r="DN23" s="5"/>
      <c r="DO23" s="5"/>
      <c r="DP23" s="5"/>
      <c r="DQ23" s="5"/>
      <c r="DR23" s="5"/>
      <c r="DS23" s="5"/>
      <c r="DT23" s="5"/>
      <c r="DV23" s="346"/>
    </row>
    <row r="24" spans="1:126" s="800" customFormat="1" ht="15" customHeight="1">
      <c r="A24" s="2233" t="s">
        <v>595</v>
      </c>
      <c r="B24" s="2234"/>
      <c r="C24" s="1259">
        <f t="shared" si="25"/>
        <v>0</v>
      </c>
      <c r="D24" s="1638">
        <f>+F24+H24+J24+L24+N24+P24+R24+T24+V24+X24+Z24+AB24+AD24+AF24+AH24+AJ24+AL24</f>
        <v>0</v>
      </c>
      <c r="E24" s="951">
        <f t="shared" si="1"/>
        <v>0</v>
      </c>
      <c r="F24" s="1116"/>
      <c r="G24" s="1118"/>
      <c r="H24" s="1116"/>
      <c r="I24" s="1118"/>
      <c r="J24" s="1116"/>
      <c r="K24" s="1118"/>
      <c r="L24" s="1116"/>
      <c r="M24" s="1118"/>
      <c r="N24" s="1116"/>
      <c r="O24" s="1118"/>
      <c r="P24" s="1116"/>
      <c r="Q24" s="1118"/>
      <c r="R24" s="1116"/>
      <c r="S24" s="1118"/>
      <c r="T24" s="1116"/>
      <c r="U24" s="1118"/>
      <c r="V24" s="1116"/>
      <c r="W24" s="1118"/>
      <c r="X24" s="1116"/>
      <c r="Y24" s="1118"/>
      <c r="Z24" s="1116"/>
      <c r="AA24" s="1118"/>
      <c r="AB24" s="1116"/>
      <c r="AC24" s="1118"/>
      <c r="AD24" s="1116"/>
      <c r="AE24" s="1118"/>
      <c r="AF24" s="1116"/>
      <c r="AG24" s="1118"/>
      <c r="AH24" s="1116"/>
      <c r="AI24" s="1118"/>
      <c r="AJ24" s="1116"/>
      <c r="AK24" s="1118"/>
      <c r="AL24" s="1116"/>
      <c r="AM24" s="1139"/>
      <c r="AN24" s="1119"/>
      <c r="AO24" s="2414"/>
      <c r="AP24" s="2413"/>
      <c r="AQ24" s="1118"/>
      <c r="AR24" s="2413"/>
      <c r="AS24" s="1118"/>
      <c r="AT24" s="1120"/>
      <c r="AU24" s="1120"/>
      <c r="AV24" s="1120"/>
      <c r="AW24" s="1120"/>
      <c r="AX24" s="1120"/>
      <c r="AY24" s="1121" t="str">
        <f t="shared" si="2"/>
        <v/>
      </c>
      <c r="AZ24" s="1140"/>
      <c r="BA24" s="1140"/>
      <c r="CA24" s="142" t="str">
        <f t="shared" si="3"/>
        <v/>
      </c>
      <c r="CB24" s="142" t="str">
        <f t="shared" si="4"/>
        <v/>
      </c>
      <c r="CC24" s="142" t="str">
        <f t="shared" si="5"/>
        <v/>
      </c>
      <c r="CD24" s="142" t="str">
        <f t="shared" si="6"/>
        <v/>
      </c>
      <c r="CE24" s="142" t="str">
        <f t="shared" si="7"/>
        <v/>
      </c>
      <c r="CF24" s="142" t="str">
        <f t="shared" si="8"/>
        <v/>
      </c>
      <c r="CG24" s="142" t="str">
        <f t="shared" si="20"/>
        <v/>
      </c>
      <c r="CH24" s="142" t="str">
        <f t="shared" si="21"/>
        <v/>
      </c>
      <c r="CI24" s="142" t="str">
        <f t="shared" si="9"/>
        <v/>
      </c>
      <c r="CJ24" s="142" t="str">
        <f t="shared" si="10"/>
        <v/>
      </c>
      <c r="CK24" s="142" t="str">
        <f t="shared" si="11"/>
        <v/>
      </c>
      <c r="CL24" s="5"/>
      <c r="CM24" s="5"/>
      <c r="CN24" s="34">
        <f t="shared" si="12"/>
        <v>0</v>
      </c>
      <c r="CO24" s="34">
        <f t="shared" si="12"/>
        <v>0</v>
      </c>
      <c r="CP24" s="34">
        <f t="shared" si="13"/>
        <v>0</v>
      </c>
      <c r="CQ24" s="34">
        <f t="shared" si="14"/>
        <v>0</v>
      </c>
      <c r="CR24" s="34">
        <f t="shared" si="15"/>
        <v>0</v>
      </c>
      <c r="CS24" s="34">
        <f t="shared" si="16"/>
        <v>0</v>
      </c>
      <c r="CT24" s="34">
        <f t="shared" si="17"/>
        <v>0</v>
      </c>
      <c r="CU24" s="34">
        <f t="shared" si="17"/>
        <v>0</v>
      </c>
      <c r="CV24" s="34">
        <f t="shared" si="17"/>
        <v>0</v>
      </c>
      <c r="CW24" s="34">
        <f t="shared" si="18"/>
        <v>0</v>
      </c>
      <c r="CX24" s="34">
        <f t="shared" si="19"/>
        <v>0</v>
      </c>
      <c r="DK24" s="5"/>
      <c r="DL24" s="5"/>
      <c r="DM24" s="5"/>
      <c r="DN24" s="5"/>
      <c r="DO24" s="5"/>
      <c r="DP24" s="5"/>
      <c r="DQ24" s="5"/>
      <c r="DR24" s="5"/>
      <c r="DS24" s="5"/>
      <c r="DT24" s="5"/>
      <c r="DV24" s="346"/>
    </row>
    <row r="25" spans="1:126" s="800" customFormat="1" ht="15" customHeight="1">
      <c r="A25" s="2223" t="s">
        <v>596</v>
      </c>
      <c r="B25" s="1124" t="s">
        <v>597</v>
      </c>
      <c r="C25" s="965">
        <f t="shared" ref="C25:C56" si="26">SUM(D25:E25)</f>
        <v>0</v>
      </c>
      <c r="D25" s="740">
        <f t="shared" si="24"/>
        <v>0</v>
      </c>
      <c r="E25" s="1125">
        <f t="shared" si="1"/>
        <v>0</v>
      </c>
      <c r="F25" s="751"/>
      <c r="G25" s="752"/>
      <c r="H25" s="751"/>
      <c r="I25" s="752"/>
      <c r="J25" s="751"/>
      <c r="K25" s="752"/>
      <c r="L25" s="751"/>
      <c r="M25" s="752"/>
      <c r="N25" s="751"/>
      <c r="O25" s="752"/>
      <c r="P25" s="751"/>
      <c r="Q25" s="752"/>
      <c r="R25" s="751"/>
      <c r="S25" s="752"/>
      <c r="T25" s="751"/>
      <c r="U25" s="752"/>
      <c r="V25" s="751"/>
      <c r="W25" s="752"/>
      <c r="X25" s="751"/>
      <c r="Y25" s="752"/>
      <c r="Z25" s="751"/>
      <c r="AA25" s="752"/>
      <c r="AB25" s="751"/>
      <c r="AC25" s="752"/>
      <c r="AD25" s="751"/>
      <c r="AE25" s="752"/>
      <c r="AF25" s="751"/>
      <c r="AG25" s="752"/>
      <c r="AH25" s="751"/>
      <c r="AI25" s="752"/>
      <c r="AJ25" s="751"/>
      <c r="AK25" s="752"/>
      <c r="AL25" s="751"/>
      <c r="AM25" s="753"/>
      <c r="AN25" s="1128"/>
      <c r="AO25" s="1129"/>
      <c r="AP25" s="789"/>
      <c r="AQ25" s="752"/>
      <c r="AR25" s="789"/>
      <c r="AS25" s="752"/>
      <c r="AT25" s="788"/>
      <c r="AU25" s="788"/>
      <c r="AV25" s="788"/>
      <c r="AW25" s="788"/>
      <c r="AX25" s="788"/>
      <c r="AY25" s="1121" t="str">
        <f t="shared" si="2"/>
        <v/>
      </c>
      <c r="AZ25" s="1140"/>
      <c r="BA25" s="1140"/>
      <c r="CA25" s="142" t="str">
        <f t="shared" si="3"/>
        <v/>
      </c>
      <c r="CB25" s="142" t="str">
        <f t="shared" si="4"/>
        <v/>
      </c>
      <c r="CC25" s="142" t="str">
        <f t="shared" si="5"/>
        <v/>
      </c>
      <c r="CD25" s="142" t="str">
        <f t="shared" si="6"/>
        <v/>
      </c>
      <c r="CE25" s="142" t="str">
        <f t="shared" si="7"/>
        <v/>
      </c>
      <c r="CF25" s="142" t="str">
        <f t="shared" si="8"/>
        <v/>
      </c>
      <c r="CG25" s="142" t="str">
        <f t="shared" si="20"/>
        <v/>
      </c>
      <c r="CH25" s="142" t="str">
        <f t="shared" si="21"/>
        <v/>
      </c>
      <c r="CI25" s="142" t="str">
        <f t="shared" si="9"/>
        <v/>
      </c>
      <c r="CJ25" s="142" t="str">
        <f t="shared" si="10"/>
        <v/>
      </c>
      <c r="CK25" s="142" t="str">
        <f t="shared" si="11"/>
        <v/>
      </c>
      <c r="CL25" s="5"/>
      <c r="CM25" s="5"/>
      <c r="CN25" s="34">
        <f t="shared" si="12"/>
        <v>0</v>
      </c>
      <c r="CO25" s="34">
        <f t="shared" si="12"/>
        <v>0</v>
      </c>
      <c r="CP25" s="34">
        <f t="shared" si="13"/>
        <v>0</v>
      </c>
      <c r="CQ25" s="34">
        <f t="shared" si="14"/>
        <v>0</v>
      </c>
      <c r="CR25" s="34">
        <f t="shared" si="15"/>
        <v>0</v>
      </c>
      <c r="CS25" s="34">
        <f t="shared" si="16"/>
        <v>0</v>
      </c>
      <c r="CT25" s="34">
        <f t="shared" si="17"/>
        <v>0</v>
      </c>
      <c r="CU25" s="34">
        <f t="shared" si="17"/>
        <v>0</v>
      </c>
      <c r="CV25" s="34">
        <f t="shared" si="17"/>
        <v>0</v>
      </c>
      <c r="CW25" s="34">
        <f t="shared" si="18"/>
        <v>0</v>
      </c>
      <c r="CX25" s="34">
        <f t="shared" si="19"/>
        <v>0</v>
      </c>
      <c r="DK25" s="5"/>
      <c r="DL25" s="5"/>
      <c r="DM25" s="5"/>
      <c r="DN25" s="5"/>
      <c r="DO25" s="5"/>
      <c r="DP25" s="5"/>
      <c r="DQ25" s="5"/>
      <c r="DR25" s="5"/>
      <c r="DS25" s="5"/>
      <c r="DT25" s="5"/>
      <c r="DV25" s="346"/>
    </row>
    <row r="26" spans="1:126" s="800" customFormat="1" ht="15" customHeight="1">
      <c r="A26" s="2224"/>
      <c r="B26" s="1141" t="s">
        <v>598</v>
      </c>
      <c r="C26" s="965">
        <f t="shared" si="26"/>
        <v>0</v>
      </c>
      <c r="D26" s="740">
        <f t="shared" si="24"/>
        <v>0</v>
      </c>
      <c r="E26" s="1125">
        <f t="shared" si="1"/>
        <v>0</v>
      </c>
      <c r="F26" s="709"/>
      <c r="G26" s="710"/>
      <c r="H26" s="709"/>
      <c r="I26" s="710"/>
      <c r="J26" s="709"/>
      <c r="K26" s="710"/>
      <c r="L26" s="709"/>
      <c r="M26" s="710"/>
      <c r="N26" s="709"/>
      <c r="O26" s="710"/>
      <c r="P26" s="709"/>
      <c r="Q26" s="710"/>
      <c r="R26" s="709"/>
      <c r="S26" s="710"/>
      <c r="T26" s="709"/>
      <c r="U26" s="710"/>
      <c r="V26" s="709"/>
      <c r="W26" s="710"/>
      <c r="X26" s="709"/>
      <c r="Y26" s="710"/>
      <c r="Z26" s="709"/>
      <c r="AA26" s="710"/>
      <c r="AB26" s="709"/>
      <c r="AC26" s="710"/>
      <c r="AD26" s="709"/>
      <c r="AE26" s="710"/>
      <c r="AF26" s="709"/>
      <c r="AG26" s="710"/>
      <c r="AH26" s="709"/>
      <c r="AI26" s="710"/>
      <c r="AJ26" s="709"/>
      <c r="AK26" s="710"/>
      <c r="AL26" s="709"/>
      <c r="AM26" s="731"/>
      <c r="AN26" s="1142"/>
      <c r="AO26" s="1143"/>
      <c r="AP26" s="928"/>
      <c r="AQ26" s="710"/>
      <c r="AR26" s="928"/>
      <c r="AS26" s="710"/>
      <c r="AT26" s="900"/>
      <c r="AU26" s="900"/>
      <c r="AV26" s="900"/>
      <c r="AW26" s="900"/>
      <c r="AX26" s="900"/>
      <c r="AY26" s="1121" t="str">
        <f t="shared" si="2"/>
        <v/>
      </c>
      <c r="AZ26" s="1140"/>
      <c r="BA26" s="1140"/>
      <c r="CA26" s="142" t="str">
        <f t="shared" si="3"/>
        <v/>
      </c>
      <c r="CB26" s="142" t="str">
        <f t="shared" si="4"/>
        <v/>
      </c>
      <c r="CC26" s="142" t="str">
        <f t="shared" si="5"/>
        <v/>
      </c>
      <c r="CD26" s="142" t="str">
        <f t="shared" si="6"/>
        <v/>
      </c>
      <c r="CE26" s="142" t="str">
        <f t="shared" si="7"/>
        <v/>
      </c>
      <c r="CF26" s="142" t="str">
        <f t="shared" si="8"/>
        <v/>
      </c>
      <c r="CG26" s="142" t="str">
        <f t="shared" si="20"/>
        <v/>
      </c>
      <c r="CH26" s="142" t="str">
        <f t="shared" si="21"/>
        <v/>
      </c>
      <c r="CI26" s="142" t="str">
        <f t="shared" si="9"/>
        <v/>
      </c>
      <c r="CJ26" s="142" t="str">
        <f t="shared" si="10"/>
        <v/>
      </c>
      <c r="CK26" s="142" t="str">
        <f t="shared" si="11"/>
        <v/>
      </c>
      <c r="CL26" s="5"/>
      <c r="CM26" s="5"/>
      <c r="CN26" s="34">
        <f t="shared" si="12"/>
        <v>0</v>
      </c>
      <c r="CO26" s="34">
        <f t="shared" si="12"/>
        <v>0</v>
      </c>
      <c r="CP26" s="34">
        <f t="shared" si="13"/>
        <v>0</v>
      </c>
      <c r="CQ26" s="34">
        <f t="shared" si="14"/>
        <v>0</v>
      </c>
      <c r="CR26" s="34">
        <f t="shared" si="15"/>
        <v>0</v>
      </c>
      <c r="CS26" s="34">
        <f t="shared" si="16"/>
        <v>0</v>
      </c>
      <c r="CT26" s="34">
        <f t="shared" si="17"/>
        <v>0</v>
      </c>
      <c r="CU26" s="34">
        <f t="shared" si="17"/>
        <v>0</v>
      </c>
      <c r="CV26" s="34">
        <f t="shared" si="17"/>
        <v>0</v>
      </c>
      <c r="CW26" s="34">
        <f t="shared" si="18"/>
        <v>0</v>
      </c>
      <c r="CX26" s="34">
        <f t="shared" si="19"/>
        <v>0</v>
      </c>
      <c r="DK26" s="5"/>
      <c r="DL26" s="5"/>
      <c r="DM26" s="5"/>
      <c r="DN26" s="5"/>
      <c r="DO26" s="5"/>
      <c r="DP26" s="5"/>
      <c r="DQ26" s="5"/>
      <c r="DR26" s="5"/>
      <c r="DS26" s="5"/>
      <c r="DT26" s="5"/>
      <c r="DV26" s="346"/>
    </row>
    <row r="27" spans="1:126" s="800" customFormat="1" ht="15" customHeight="1">
      <c r="A27" s="2224"/>
      <c r="B27" s="1141" t="s">
        <v>599</v>
      </c>
      <c r="C27" s="965">
        <f t="shared" si="26"/>
        <v>0</v>
      </c>
      <c r="D27" s="740">
        <f t="shared" si="24"/>
        <v>0</v>
      </c>
      <c r="E27" s="1125">
        <f t="shared" si="1"/>
        <v>0</v>
      </c>
      <c r="F27" s="709"/>
      <c r="G27" s="710"/>
      <c r="H27" s="709"/>
      <c r="I27" s="710"/>
      <c r="J27" s="709"/>
      <c r="K27" s="710"/>
      <c r="L27" s="709"/>
      <c r="M27" s="710"/>
      <c r="N27" s="709"/>
      <c r="O27" s="710"/>
      <c r="P27" s="709"/>
      <c r="Q27" s="710"/>
      <c r="R27" s="709"/>
      <c r="S27" s="710"/>
      <c r="T27" s="709"/>
      <c r="U27" s="710"/>
      <c r="V27" s="709"/>
      <c r="W27" s="710"/>
      <c r="X27" s="709"/>
      <c r="Y27" s="710"/>
      <c r="Z27" s="709"/>
      <c r="AA27" s="710"/>
      <c r="AB27" s="709"/>
      <c r="AC27" s="710"/>
      <c r="AD27" s="709"/>
      <c r="AE27" s="710"/>
      <c r="AF27" s="709"/>
      <c r="AG27" s="710"/>
      <c r="AH27" s="709"/>
      <c r="AI27" s="710"/>
      <c r="AJ27" s="709"/>
      <c r="AK27" s="710"/>
      <c r="AL27" s="709"/>
      <c r="AM27" s="731"/>
      <c r="AN27" s="1142"/>
      <c r="AO27" s="1143"/>
      <c r="AP27" s="928"/>
      <c r="AQ27" s="710"/>
      <c r="AR27" s="928"/>
      <c r="AS27" s="710"/>
      <c r="AT27" s="900"/>
      <c r="AU27" s="900"/>
      <c r="AV27" s="900"/>
      <c r="AW27" s="900"/>
      <c r="AX27" s="900"/>
      <c r="AY27" s="1121" t="str">
        <f t="shared" si="2"/>
        <v/>
      </c>
      <c r="AZ27" s="1140"/>
      <c r="BA27" s="1140"/>
      <c r="CA27" s="142" t="str">
        <f t="shared" si="3"/>
        <v/>
      </c>
      <c r="CB27" s="142" t="str">
        <f t="shared" si="4"/>
        <v/>
      </c>
      <c r="CC27" s="142" t="str">
        <f t="shared" si="5"/>
        <v/>
      </c>
      <c r="CD27" s="142" t="str">
        <f>IF(AND(E27&gt;0,OR(AQ27=""))," * No olvide digitar la variable Pueblos Originarios Mujeres. Digite Cero si no tiene.",IF(AQ27&gt;E27," * La variable Pueblos Originarios Mujeres no puede ser Mayor al Total Mujeres.",""))</f>
        <v/>
      </c>
      <c r="CE27" s="142" t="str">
        <f t="shared" si="7"/>
        <v/>
      </c>
      <c r="CF27" s="142" t="str">
        <f t="shared" si="8"/>
        <v/>
      </c>
      <c r="CG27" s="142" t="str">
        <f t="shared" si="20"/>
        <v/>
      </c>
      <c r="CH27" s="142" t="str">
        <f t="shared" si="21"/>
        <v/>
      </c>
      <c r="CI27" s="142" t="str">
        <f t="shared" si="9"/>
        <v/>
      </c>
      <c r="CJ27" s="142" t="str">
        <f t="shared" si="10"/>
        <v/>
      </c>
      <c r="CK27" s="142" t="str">
        <f t="shared" si="11"/>
        <v/>
      </c>
      <c r="CL27" s="5"/>
      <c r="CM27" s="5"/>
      <c r="CN27" s="34">
        <f t="shared" si="12"/>
        <v>0</v>
      </c>
      <c r="CO27" s="34">
        <f t="shared" si="12"/>
        <v>0</v>
      </c>
      <c r="CP27" s="34">
        <f t="shared" si="13"/>
        <v>0</v>
      </c>
      <c r="CQ27" s="34">
        <f t="shared" si="14"/>
        <v>0</v>
      </c>
      <c r="CR27" s="34">
        <f t="shared" si="15"/>
        <v>0</v>
      </c>
      <c r="CS27" s="34">
        <f t="shared" si="16"/>
        <v>0</v>
      </c>
      <c r="CT27" s="34">
        <f t="shared" si="17"/>
        <v>0</v>
      </c>
      <c r="CU27" s="34">
        <f t="shared" si="17"/>
        <v>0</v>
      </c>
      <c r="CV27" s="34">
        <f t="shared" si="17"/>
        <v>0</v>
      </c>
      <c r="CW27" s="34">
        <f t="shared" si="18"/>
        <v>0</v>
      </c>
      <c r="CX27" s="34">
        <f t="shared" si="19"/>
        <v>0</v>
      </c>
      <c r="DK27" s="5"/>
      <c r="DL27" s="5"/>
      <c r="DM27" s="5"/>
      <c r="DN27" s="5"/>
      <c r="DO27" s="5"/>
      <c r="DP27" s="5"/>
      <c r="DQ27" s="5"/>
      <c r="DR27" s="5"/>
      <c r="DS27" s="5"/>
      <c r="DT27" s="5"/>
      <c r="DV27" s="346"/>
    </row>
    <row r="28" spans="1:126" s="800" customFormat="1" ht="15" customHeight="1">
      <c r="A28" s="2224"/>
      <c r="B28" s="1141" t="s">
        <v>600</v>
      </c>
      <c r="C28" s="965">
        <f t="shared" si="26"/>
        <v>0</v>
      </c>
      <c r="D28" s="927"/>
      <c r="E28" s="1144">
        <f>K28+M28+O28+Q28+S28+U28+W28+Y28+AA28+AC28</f>
        <v>0</v>
      </c>
      <c r="F28" s="713"/>
      <c r="G28" s="714"/>
      <c r="H28" s="713"/>
      <c r="I28" s="714"/>
      <c r="J28" s="713"/>
      <c r="K28" s="710"/>
      <c r="L28" s="713"/>
      <c r="M28" s="710"/>
      <c r="N28" s="713"/>
      <c r="O28" s="710"/>
      <c r="P28" s="713"/>
      <c r="Q28" s="710"/>
      <c r="R28" s="713"/>
      <c r="S28" s="710"/>
      <c r="T28" s="713"/>
      <c r="U28" s="710"/>
      <c r="V28" s="713"/>
      <c r="W28" s="710"/>
      <c r="X28" s="713"/>
      <c r="Y28" s="710"/>
      <c r="Z28" s="713"/>
      <c r="AA28" s="710"/>
      <c r="AB28" s="713"/>
      <c r="AC28" s="710"/>
      <c r="AD28" s="713"/>
      <c r="AE28" s="714"/>
      <c r="AF28" s="713"/>
      <c r="AG28" s="714"/>
      <c r="AH28" s="713"/>
      <c r="AI28" s="714"/>
      <c r="AJ28" s="713"/>
      <c r="AK28" s="714"/>
      <c r="AL28" s="713"/>
      <c r="AM28" s="759"/>
      <c r="AN28" s="1145"/>
      <c r="AO28" s="1143"/>
      <c r="AP28" s="927"/>
      <c r="AQ28" s="710"/>
      <c r="AR28" s="927"/>
      <c r="AS28" s="710"/>
      <c r="AT28" s="900"/>
      <c r="AU28" s="900"/>
      <c r="AV28" s="900"/>
      <c r="AW28" s="900"/>
      <c r="AX28" s="847"/>
      <c r="AY28" s="1121" t="str">
        <f t="shared" si="2"/>
        <v/>
      </c>
      <c r="AZ28" s="1140"/>
      <c r="BA28" s="1140"/>
      <c r="CA28" s="35"/>
      <c r="CB28" s="142" t="str">
        <f t="shared" si="4"/>
        <v/>
      </c>
      <c r="CC28" s="35"/>
      <c r="CD28" s="142" t="str">
        <f>IF(AND(E28&gt;0,OR(AQ28=""))," * No olvide digitar la variable Pueblos Originarios Mujeres. Digite Cero si no tiene.",IF(AQ28&gt;E28," * La variable Pueblos Originarios Mujeres no puede ser Mayor al Total Mujeres.",""))</f>
        <v/>
      </c>
      <c r="CE28" s="35"/>
      <c r="CF28" s="142" t="str">
        <f>IF(AND($E28&gt;0,OR(AS28=""))," * No olvide digitar la variable Migrantes Mujeres. Digite Cero si no tiene.",IF(AS28&gt;$E28," * La variable Migrantes Mujeres no puede ser Mayor al Total Mujeres.",""))</f>
        <v/>
      </c>
      <c r="CG28" s="142" t="str">
        <f t="shared" si="20"/>
        <v/>
      </c>
      <c r="CH28" s="142" t="str">
        <f t="shared" si="21"/>
        <v/>
      </c>
      <c r="CI28" s="142" t="str">
        <f>IF(AND(C28&gt;0,OR(AV28=""))," * No olvide digitar la variable Plan Cuidado Integral Elaborado. Digite Cero si no tiene.",IF($AV28&gt;$C28,"* La variable Plan Cuidado Integral Elaborado debe ser menor o igual al Total de Personas en control. ",""))</f>
        <v/>
      </c>
      <c r="CJ28" s="142" t="str">
        <f t="shared" si="10"/>
        <v/>
      </c>
      <c r="CK28" s="35"/>
      <c r="CL28" s="5"/>
      <c r="CM28" s="5"/>
      <c r="CN28" s="35"/>
      <c r="CO28" s="34">
        <f t="shared" si="12"/>
        <v>0</v>
      </c>
      <c r="CP28" s="35"/>
      <c r="CQ28" s="34">
        <f t="shared" si="14"/>
        <v>0</v>
      </c>
      <c r="CR28" s="35"/>
      <c r="CS28" s="34">
        <f t="shared" si="16"/>
        <v>0</v>
      </c>
      <c r="CT28" s="34">
        <f t="shared" si="17"/>
        <v>0</v>
      </c>
      <c r="CU28" s="34">
        <f t="shared" si="17"/>
        <v>0</v>
      </c>
      <c r="CV28" s="34">
        <f t="shared" si="17"/>
        <v>0</v>
      </c>
      <c r="CW28" s="34">
        <f>IF(AND(E28&gt;0,OR(AW28="")),1,IF(AW28&gt;$E28,1,0))</f>
        <v>0</v>
      </c>
      <c r="CX28" s="35"/>
      <c r="DK28" s="5"/>
      <c r="DL28" s="5"/>
      <c r="DM28" s="5"/>
      <c r="DN28" s="5"/>
      <c r="DO28" s="5"/>
      <c r="DP28" s="5"/>
      <c r="DQ28" s="5"/>
      <c r="DR28" s="5"/>
      <c r="DS28" s="5"/>
      <c r="DT28" s="5"/>
      <c r="DV28" s="346"/>
    </row>
    <row r="29" spans="1:126" s="800" customFormat="1" ht="15" customHeight="1">
      <c r="A29" s="2225"/>
      <c r="B29" s="1627" t="s">
        <v>601</v>
      </c>
      <c r="C29" s="1260">
        <f t="shared" si="26"/>
        <v>0</v>
      </c>
      <c r="D29" s="720">
        <f t="shared" ref="D29:E36" si="27">+F29+H29+J29+L29+N29+P29+R29+T29+V29+X29+Z29+AB29+AD29+AF29+AH29+AJ29+AL29</f>
        <v>0</v>
      </c>
      <c r="E29" s="1146">
        <f t="shared" si="27"/>
        <v>0</v>
      </c>
      <c r="F29" s="735"/>
      <c r="G29" s="729"/>
      <c r="H29" s="735"/>
      <c r="I29" s="729"/>
      <c r="J29" s="735"/>
      <c r="K29" s="729"/>
      <c r="L29" s="735"/>
      <c r="M29" s="729"/>
      <c r="N29" s="735"/>
      <c r="O29" s="729"/>
      <c r="P29" s="735"/>
      <c r="Q29" s="729"/>
      <c r="R29" s="735"/>
      <c r="S29" s="729"/>
      <c r="T29" s="735"/>
      <c r="U29" s="729"/>
      <c r="V29" s="735"/>
      <c r="W29" s="729"/>
      <c r="X29" s="735"/>
      <c r="Y29" s="729"/>
      <c r="Z29" s="735"/>
      <c r="AA29" s="729"/>
      <c r="AB29" s="735"/>
      <c r="AC29" s="729"/>
      <c r="AD29" s="735"/>
      <c r="AE29" s="729"/>
      <c r="AF29" s="735"/>
      <c r="AG29" s="729"/>
      <c r="AH29" s="735"/>
      <c r="AI29" s="729"/>
      <c r="AJ29" s="735"/>
      <c r="AK29" s="729"/>
      <c r="AL29" s="735"/>
      <c r="AM29" s="736"/>
      <c r="AN29" s="1147"/>
      <c r="AO29" s="1148"/>
      <c r="AP29" s="942"/>
      <c r="AQ29" s="729"/>
      <c r="AR29" s="942"/>
      <c r="AS29" s="729"/>
      <c r="AT29" s="1149"/>
      <c r="AU29" s="1149"/>
      <c r="AV29" s="1149"/>
      <c r="AW29" s="1149"/>
      <c r="AX29" s="1149"/>
      <c r="AY29" s="1121" t="str">
        <f t="shared" si="2"/>
        <v/>
      </c>
      <c r="AZ29" s="1140"/>
      <c r="BA29" s="1140"/>
      <c r="CA29" s="142" t="str">
        <f t="shared" ref="CA29:CA43" si="28">IF(AND(E29&gt;0,OR(AN29=""))," * No olvide digitar la variable Gestantes. Digite Cero si no tiene.",IF(AN29&gt;E29," * La variable Gestante no puede ser Mayor al Total Mujeres.",""))</f>
        <v/>
      </c>
      <c r="CB29" s="142" t="str">
        <f t="shared" si="4"/>
        <v/>
      </c>
      <c r="CC29" s="142" t="str">
        <f t="shared" ref="CC29:CC58" si="29">IF(AND(D29&gt;0,OR(AP29=""))," * No olvide digitar la variable Pueblos Originarios Hombres. Digite Cero si no tiene.",IF(AP29&gt;D29," * La variable Pueblos Originarios Hombres no puede ser Mayor al Total Hombres.",""))</f>
        <v/>
      </c>
      <c r="CD29" s="142" t="str">
        <f t="shared" ref="CD29:CD58" si="30">IF(AND(E29&gt;0,OR(AQ29=""))," * No olvide digitar la variable Pueblos Originarios Mujeres. Digite Cero si no tiene.",IF(AQ29&gt;E29," * La variable Pueblos Originarios Mujeres no puede ser Mayor al Total Mujeres.",""))</f>
        <v/>
      </c>
      <c r="CE29" s="142" t="str">
        <f t="shared" ref="CE29:CE58" si="31">IF(AND($D29&gt;0,OR(AR29=""))," * No olvide digitar la variable Migrantes Hombres. Digite Cero si no tiene.",IF(AR29&gt;$D29," * La variable Migrantes Hombres no puede ser Mayor al Total Hombres.",""))</f>
        <v/>
      </c>
      <c r="CF29" s="142" t="str">
        <f t="shared" ref="CF29:CF58" si="32">IF(AND($E29&gt;0,OR(AS29=""))," * No olvide digitar la variable Migrantes Mujeres. Digite Cero si no tiene.",IF(AS29&gt;$E29," * La variable Migrantes Mujeres no puede ser Mayor al Total Mujeres.",""))</f>
        <v/>
      </c>
      <c r="CG29" s="142" t="str">
        <f t="shared" si="20"/>
        <v/>
      </c>
      <c r="CH29" s="142" t="str">
        <f t="shared" si="21"/>
        <v/>
      </c>
      <c r="CI29" s="142" t="str">
        <f t="shared" ref="CI29:CI58" si="33">IF(AND(C29&gt;0,OR(AV29=""))," * No olvide digitar la variable Plan Cuidado Integral Elaborado. Digite Cero si no tiene.",IF($AV29&gt;$C29,"* La variable Plan Cuidado Integral Elaborado debe ser menor o igual al Total de Personas en control. ",""))</f>
        <v/>
      </c>
      <c r="CJ29" s="142" t="str">
        <f t="shared" si="10"/>
        <v/>
      </c>
      <c r="CK29" s="142" t="str">
        <f t="shared" ref="CK29:CK58" si="34">IF(AND(D29&gt;0,OR(AX29=""))," * No olvide digitar la variable Trans Femenino. (Digite Cero si no tiene).",IF(AX29&gt;D29," * La variable Trans Femenino no debe ser mayor al Total Hombre.",""))</f>
        <v/>
      </c>
      <c r="CL29" s="5"/>
      <c r="CM29" s="5"/>
      <c r="CN29" s="34">
        <f t="shared" ref="CN29:CO43" si="35">IF(AND($E29&gt;0,OR(AN29="")),1,IF(AN29&gt;$E29,1,0))</f>
        <v>0</v>
      </c>
      <c r="CO29" s="34">
        <f t="shared" si="12"/>
        <v>0</v>
      </c>
      <c r="CP29" s="34">
        <f t="shared" ref="CP29:CP38" si="36">IF(AND($D29&gt;0,OR(AP29="")),1,IF(AP29&gt;$D29,1,0))</f>
        <v>0</v>
      </c>
      <c r="CQ29" s="34">
        <f t="shared" si="14"/>
        <v>0</v>
      </c>
      <c r="CR29" s="34">
        <f t="shared" ref="CR29:CR38" si="37">IF(AND($D29&gt;0,OR(AR29="")),1,IF(AR29&gt;$D29,1,0))</f>
        <v>0</v>
      </c>
      <c r="CS29" s="34">
        <f t="shared" si="16"/>
        <v>0</v>
      </c>
      <c r="CT29" s="34">
        <f t="shared" si="17"/>
        <v>0</v>
      </c>
      <c r="CU29" s="34">
        <f t="shared" si="17"/>
        <v>0</v>
      </c>
      <c r="CV29" s="34">
        <f t="shared" si="17"/>
        <v>0</v>
      </c>
      <c r="CW29" s="34">
        <f t="shared" ref="CW29:CW58" si="38">IF(AND(E29&gt;0,OR(AW29="")),1,IF(AW29&gt;$E29,1,0))</f>
        <v>0</v>
      </c>
      <c r="CX29" s="34">
        <f t="shared" ref="CX29:CX58" si="39">IF(AND(D29&gt;0,OR(AX29="")),1,IF(AX29&gt;$D29,1,0))</f>
        <v>0</v>
      </c>
      <c r="DK29" s="5"/>
      <c r="DL29" s="5"/>
      <c r="DM29" s="5"/>
      <c r="DN29" s="5"/>
      <c r="DO29" s="5"/>
      <c r="DP29" s="5"/>
      <c r="DQ29" s="5"/>
      <c r="DR29" s="5"/>
      <c r="DS29" s="5"/>
      <c r="DT29" s="5"/>
      <c r="DV29" s="346"/>
    </row>
    <row r="30" spans="1:126" s="800" customFormat="1" ht="15" customHeight="1">
      <c r="A30" s="2223" t="s">
        <v>602</v>
      </c>
      <c r="B30" s="1124" t="s">
        <v>603</v>
      </c>
      <c r="C30" s="1260">
        <f t="shared" si="26"/>
        <v>0</v>
      </c>
      <c r="D30" s="697">
        <f t="shared" si="27"/>
        <v>0</v>
      </c>
      <c r="E30" s="1137">
        <f t="shared" si="27"/>
        <v>0</v>
      </c>
      <c r="F30" s="699"/>
      <c r="G30" s="700"/>
      <c r="H30" s="699"/>
      <c r="I30" s="700"/>
      <c r="J30" s="699"/>
      <c r="K30" s="700"/>
      <c r="L30" s="699"/>
      <c r="M30" s="700"/>
      <c r="N30" s="699"/>
      <c r="O30" s="700"/>
      <c r="P30" s="699"/>
      <c r="Q30" s="700"/>
      <c r="R30" s="699"/>
      <c r="S30" s="700"/>
      <c r="T30" s="699"/>
      <c r="U30" s="700"/>
      <c r="V30" s="699"/>
      <c r="W30" s="700"/>
      <c r="X30" s="699"/>
      <c r="Y30" s="700"/>
      <c r="Z30" s="699"/>
      <c r="AA30" s="700"/>
      <c r="AB30" s="699"/>
      <c r="AC30" s="700"/>
      <c r="AD30" s="699"/>
      <c r="AE30" s="700"/>
      <c r="AF30" s="699"/>
      <c r="AG30" s="700"/>
      <c r="AH30" s="699"/>
      <c r="AI30" s="700"/>
      <c r="AJ30" s="699"/>
      <c r="AK30" s="700"/>
      <c r="AL30" s="699"/>
      <c r="AM30" s="730"/>
      <c r="AN30" s="1126"/>
      <c r="AO30" s="1127"/>
      <c r="AP30" s="784"/>
      <c r="AQ30" s="700"/>
      <c r="AR30" s="784"/>
      <c r="AS30" s="700"/>
      <c r="AT30" s="783"/>
      <c r="AU30" s="783"/>
      <c r="AV30" s="783"/>
      <c r="AW30" s="783"/>
      <c r="AX30" s="783"/>
      <c r="AY30" s="1121" t="str">
        <f t="shared" si="2"/>
        <v/>
      </c>
      <c r="AZ30" s="1140"/>
      <c r="BA30" s="1140"/>
      <c r="CA30" s="142" t="str">
        <f t="shared" si="28"/>
        <v/>
      </c>
      <c r="CB30" s="142" t="str">
        <f t="shared" si="4"/>
        <v/>
      </c>
      <c r="CC30" s="142" t="str">
        <f t="shared" si="29"/>
        <v/>
      </c>
      <c r="CD30" s="142" t="str">
        <f t="shared" si="30"/>
        <v/>
      </c>
      <c r="CE30" s="142" t="str">
        <f t="shared" si="31"/>
        <v/>
      </c>
      <c r="CF30" s="142" t="str">
        <f t="shared" si="32"/>
        <v/>
      </c>
      <c r="CG30" s="142" t="str">
        <f t="shared" si="20"/>
        <v/>
      </c>
      <c r="CH30" s="142" t="str">
        <f t="shared" si="21"/>
        <v/>
      </c>
      <c r="CI30" s="142" t="str">
        <f t="shared" si="33"/>
        <v/>
      </c>
      <c r="CJ30" s="142" t="str">
        <f t="shared" si="10"/>
        <v/>
      </c>
      <c r="CK30" s="142" t="str">
        <f t="shared" si="34"/>
        <v/>
      </c>
      <c r="CL30" s="5"/>
      <c r="CM30" s="5"/>
      <c r="CN30" s="34">
        <f t="shared" si="35"/>
        <v>0</v>
      </c>
      <c r="CO30" s="34">
        <f t="shared" si="12"/>
        <v>0</v>
      </c>
      <c r="CP30" s="34">
        <f t="shared" si="36"/>
        <v>0</v>
      </c>
      <c r="CQ30" s="34">
        <f t="shared" si="14"/>
        <v>0</v>
      </c>
      <c r="CR30" s="34">
        <f t="shared" si="37"/>
        <v>0</v>
      </c>
      <c r="CS30" s="34">
        <f t="shared" si="16"/>
        <v>0</v>
      </c>
      <c r="CT30" s="34">
        <f t="shared" si="17"/>
        <v>0</v>
      </c>
      <c r="CU30" s="34">
        <f t="shared" si="17"/>
        <v>0</v>
      </c>
      <c r="CV30" s="34">
        <f t="shared" si="17"/>
        <v>0</v>
      </c>
      <c r="CW30" s="34">
        <f t="shared" si="38"/>
        <v>0</v>
      </c>
      <c r="CX30" s="34">
        <f t="shared" si="39"/>
        <v>0</v>
      </c>
      <c r="DK30" s="5"/>
      <c r="DL30" s="5"/>
      <c r="DM30" s="5"/>
      <c r="DN30" s="5"/>
      <c r="DO30" s="5"/>
      <c r="DP30" s="5"/>
      <c r="DQ30" s="5"/>
      <c r="DR30" s="5"/>
      <c r="DS30" s="5"/>
      <c r="DT30" s="5"/>
      <c r="DV30" s="346"/>
    </row>
    <row r="31" spans="1:126" s="800" customFormat="1" ht="15" customHeight="1">
      <c r="A31" s="2224"/>
      <c r="B31" s="1141" t="s">
        <v>604</v>
      </c>
      <c r="C31" s="1260">
        <f t="shared" si="26"/>
        <v>0</v>
      </c>
      <c r="D31" s="707">
        <f t="shared" si="27"/>
        <v>0</v>
      </c>
      <c r="E31" s="1144">
        <f t="shared" si="27"/>
        <v>0</v>
      </c>
      <c r="F31" s="709"/>
      <c r="G31" s="710"/>
      <c r="H31" s="709"/>
      <c r="I31" s="710"/>
      <c r="J31" s="709"/>
      <c r="K31" s="710"/>
      <c r="L31" s="709"/>
      <c r="M31" s="710"/>
      <c r="N31" s="709"/>
      <c r="O31" s="710"/>
      <c r="P31" s="709"/>
      <c r="Q31" s="710"/>
      <c r="R31" s="709"/>
      <c r="S31" s="710"/>
      <c r="T31" s="709"/>
      <c r="U31" s="710"/>
      <c r="V31" s="709"/>
      <c r="W31" s="710"/>
      <c r="X31" s="709"/>
      <c r="Y31" s="710"/>
      <c r="Z31" s="709"/>
      <c r="AA31" s="710"/>
      <c r="AB31" s="709"/>
      <c r="AC31" s="710"/>
      <c r="AD31" s="709"/>
      <c r="AE31" s="710"/>
      <c r="AF31" s="709"/>
      <c r="AG31" s="710"/>
      <c r="AH31" s="709"/>
      <c r="AI31" s="710"/>
      <c r="AJ31" s="709"/>
      <c r="AK31" s="710"/>
      <c r="AL31" s="709"/>
      <c r="AM31" s="731"/>
      <c r="AN31" s="1142"/>
      <c r="AO31" s="1143"/>
      <c r="AP31" s="928"/>
      <c r="AQ31" s="710"/>
      <c r="AR31" s="928"/>
      <c r="AS31" s="710"/>
      <c r="AT31" s="900"/>
      <c r="AU31" s="900"/>
      <c r="AV31" s="900"/>
      <c r="AW31" s="900"/>
      <c r="AX31" s="900"/>
      <c r="AY31" s="1121" t="str">
        <f t="shared" si="2"/>
        <v/>
      </c>
      <c r="AZ31" s="1140"/>
      <c r="BA31" s="1140"/>
      <c r="CA31" s="142" t="str">
        <f t="shared" si="28"/>
        <v/>
      </c>
      <c r="CB31" s="142" t="str">
        <f t="shared" si="4"/>
        <v/>
      </c>
      <c r="CC31" s="142" t="str">
        <f t="shared" si="29"/>
        <v/>
      </c>
      <c r="CD31" s="142" t="str">
        <f t="shared" si="30"/>
        <v/>
      </c>
      <c r="CE31" s="142" t="str">
        <f t="shared" si="31"/>
        <v/>
      </c>
      <c r="CF31" s="142" t="str">
        <f t="shared" si="32"/>
        <v/>
      </c>
      <c r="CG31" s="142" t="str">
        <f t="shared" si="20"/>
        <v/>
      </c>
      <c r="CH31" s="142" t="str">
        <f t="shared" si="21"/>
        <v/>
      </c>
      <c r="CI31" s="142" t="str">
        <f t="shared" si="33"/>
        <v/>
      </c>
      <c r="CJ31" s="142" t="str">
        <f t="shared" si="10"/>
        <v/>
      </c>
      <c r="CK31" s="142" t="str">
        <f t="shared" si="34"/>
        <v/>
      </c>
      <c r="CL31" s="5"/>
      <c r="CM31" s="5"/>
      <c r="CN31" s="34">
        <f t="shared" si="35"/>
        <v>0</v>
      </c>
      <c r="CO31" s="34">
        <f t="shared" si="35"/>
        <v>0</v>
      </c>
      <c r="CP31" s="34">
        <f t="shared" si="36"/>
        <v>0</v>
      </c>
      <c r="CQ31" s="34">
        <f t="shared" si="14"/>
        <v>0</v>
      </c>
      <c r="CR31" s="34">
        <f t="shared" si="37"/>
        <v>0</v>
      </c>
      <c r="CS31" s="34">
        <f t="shared" si="16"/>
        <v>0</v>
      </c>
      <c r="CT31" s="34">
        <f t="shared" si="17"/>
        <v>0</v>
      </c>
      <c r="CU31" s="34">
        <f t="shared" si="17"/>
        <v>0</v>
      </c>
      <c r="CV31" s="34">
        <f t="shared" si="17"/>
        <v>0</v>
      </c>
      <c r="CW31" s="34">
        <f t="shared" si="38"/>
        <v>0</v>
      </c>
      <c r="CX31" s="34">
        <f t="shared" si="39"/>
        <v>0</v>
      </c>
      <c r="DK31" s="5"/>
      <c r="DL31" s="5"/>
      <c r="DM31" s="5"/>
      <c r="DN31" s="5"/>
      <c r="DO31" s="5"/>
      <c r="DP31" s="5"/>
      <c r="DQ31" s="5"/>
      <c r="DR31" s="5"/>
      <c r="DS31" s="5"/>
      <c r="DT31" s="5"/>
      <c r="DV31" s="346"/>
    </row>
    <row r="32" spans="1:126" s="800" customFormat="1" ht="15" customHeight="1">
      <c r="A32" s="2224"/>
      <c r="B32" s="1141" t="s">
        <v>605</v>
      </c>
      <c r="C32" s="1260">
        <f t="shared" si="26"/>
        <v>0</v>
      </c>
      <c r="D32" s="720">
        <f t="shared" si="27"/>
        <v>0</v>
      </c>
      <c r="E32" s="1146">
        <f t="shared" si="27"/>
        <v>0</v>
      </c>
      <c r="F32" s="735"/>
      <c r="G32" s="729"/>
      <c r="H32" s="735"/>
      <c r="I32" s="729"/>
      <c r="J32" s="735"/>
      <c r="K32" s="729"/>
      <c r="L32" s="735"/>
      <c r="M32" s="729"/>
      <c r="N32" s="735"/>
      <c r="O32" s="729"/>
      <c r="P32" s="735"/>
      <c r="Q32" s="729"/>
      <c r="R32" s="735"/>
      <c r="S32" s="729"/>
      <c r="T32" s="735"/>
      <c r="U32" s="729"/>
      <c r="V32" s="735"/>
      <c r="W32" s="729"/>
      <c r="X32" s="735"/>
      <c r="Y32" s="729"/>
      <c r="Z32" s="735"/>
      <c r="AA32" s="729"/>
      <c r="AB32" s="735"/>
      <c r="AC32" s="729"/>
      <c r="AD32" s="735"/>
      <c r="AE32" s="729"/>
      <c r="AF32" s="735"/>
      <c r="AG32" s="729"/>
      <c r="AH32" s="735"/>
      <c r="AI32" s="729"/>
      <c r="AJ32" s="735"/>
      <c r="AK32" s="729"/>
      <c r="AL32" s="735"/>
      <c r="AM32" s="736"/>
      <c r="AN32" s="1147"/>
      <c r="AO32" s="1148"/>
      <c r="AP32" s="942"/>
      <c r="AQ32" s="729"/>
      <c r="AR32" s="942"/>
      <c r="AS32" s="729"/>
      <c r="AT32" s="1149"/>
      <c r="AU32" s="1149"/>
      <c r="AV32" s="1149"/>
      <c r="AW32" s="1149"/>
      <c r="AX32" s="1149"/>
      <c r="AY32" s="1121" t="str">
        <f t="shared" si="2"/>
        <v/>
      </c>
      <c r="AZ32" s="1140"/>
      <c r="BA32" s="1140"/>
      <c r="CA32" s="142" t="str">
        <f t="shared" si="28"/>
        <v/>
      </c>
      <c r="CB32" s="142" t="str">
        <f t="shared" si="4"/>
        <v/>
      </c>
      <c r="CC32" s="142" t="str">
        <f t="shared" si="29"/>
        <v/>
      </c>
      <c r="CD32" s="142" t="str">
        <f t="shared" si="30"/>
        <v/>
      </c>
      <c r="CE32" s="142" t="str">
        <f t="shared" si="31"/>
        <v/>
      </c>
      <c r="CF32" s="142" t="str">
        <f t="shared" si="32"/>
        <v/>
      </c>
      <c r="CG32" s="142" t="str">
        <f t="shared" si="20"/>
        <v/>
      </c>
      <c r="CH32" s="142" t="str">
        <f t="shared" si="21"/>
        <v/>
      </c>
      <c r="CI32" s="142" t="str">
        <f t="shared" si="33"/>
        <v/>
      </c>
      <c r="CJ32" s="142" t="str">
        <f t="shared" si="10"/>
        <v/>
      </c>
      <c r="CK32" s="142" t="str">
        <f t="shared" si="34"/>
        <v/>
      </c>
      <c r="CL32" s="5"/>
      <c r="CM32" s="5"/>
      <c r="CN32" s="34">
        <f t="shared" si="35"/>
        <v>0</v>
      </c>
      <c r="CO32" s="34">
        <f t="shared" si="35"/>
        <v>0</v>
      </c>
      <c r="CP32" s="34">
        <f t="shared" si="36"/>
        <v>0</v>
      </c>
      <c r="CQ32" s="34">
        <f t="shared" si="14"/>
        <v>0</v>
      </c>
      <c r="CR32" s="34">
        <f t="shared" si="37"/>
        <v>0</v>
      </c>
      <c r="CS32" s="34">
        <f t="shared" si="16"/>
        <v>0</v>
      </c>
      <c r="CT32" s="34">
        <f t="shared" si="17"/>
        <v>0</v>
      </c>
      <c r="CU32" s="34">
        <f t="shared" si="17"/>
        <v>0</v>
      </c>
      <c r="CV32" s="34">
        <f t="shared" si="17"/>
        <v>0</v>
      </c>
      <c r="CW32" s="34">
        <f t="shared" si="38"/>
        <v>0</v>
      </c>
      <c r="CX32" s="34">
        <f t="shared" si="39"/>
        <v>0</v>
      </c>
      <c r="DK32" s="5"/>
      <c r="DL32" s="5"/>
      <c r="DM32" s="5"/>
      <c r="DN32" s="5"/>
      <c r="DO32" s="5"/>
      <c r="DP32" s="5"/>
      <c r="DQ32" s="5"/>
      <c r="DR32" s="5"/>
      <c r="DS32" s="5"/>
      <c r="DT32" s="5"/>
      <c r="DV32" s="346"/>
    </row>
    <row r="33" spans="1:126" s="800" customFormat="1" ht="15" customHeight="1">
      <c r="A33" s="2224"/>
      <c r="B33" s="1141" t="s">
        <v>606</v>
      </c>
      <c r="C33" s="1260">
        <f t="shared" si="26"/>
        <v>0</v>
      </c>
      <c r="D33" s="720">
        <f t="shared" si="27"/>
        <v>0</v>
      </c>
      <c r="E33" s="1146">
        <f t="shared" si="27"/>
        <v>0</v>
      </c>
      <c r="F33" s="735"/>
      <c r="G33" s="729"/>
      <c r="H33" s="735"/>
      <c r="I33" s="729"/>
      <c r="J33" s="735"/>
      <c r="K33" s="729"/>
      <c r="L33" s="735"/>
      <c r="M33" s="729"/>
      <c r="N33" s="735"/>
      <c r="O33" s="729"/>
      <c r="P33" s="735"/>
      <c r="Q33" s="729"/>
      <c r="R33" s="735"/>
      <c r="S33" s="729"/>
      <c r="T33" s="735"/>
      <c r="U33" s="729"/>
      <c r="V33" s="735"/>
      <c r="W33" s="729"/>
      <c r="X33" s="735"/>
      <c r="Y33" s="729"/>
      <c r="Z33" s="735"/>
      <c r="AA33" s="729"/>
      <c r="AB33" s="735"/>
      <c r="AC33" s="729"/>
      <c r="AD33" s="735"/>
      <c r="AE33" s="729"/>
      <c r="AF33" s="735"/>
      <c r="AG33" s="729"/>
      <c r="AH33" s="735"/>
      <c r="AI33" s="729"/>
      <c r="AJ33" s="735"/>
      <c r="AK33" s="729"/>
      <c r="AL33" s="735"/>
      <c r="AM33" s="736"/>
      <c r="AN33" s="1147"/>
      <c r="AO33" s="1148"/>
      <c r="AP33" s="942"/>
      <c r="AQ33" s="729"/>
      <c r="AR33" s="942"/>
      <c r="AS33" s="729"/>
      <c r="AT33" s="1149"/>
      <c r="AU33" s="1149"/>
      <c r="AV33" s="1149"/>
      <c r="AW33" s="1149"/>
      <c r="AX33" s="1149"/>
      <c r="AY33" s="1121" t="str">
        <f t="shared" si="2"/>
        <v/>
      </c>
      <c r="AZ33" s="1140"/>
      <c r="BA33" s="1140"/>
      <c r="CA33" s="142" t="str">
        <f t="shared" si="28"/>
        <v/>
      </c>
      <c r="CB33" s="142" t="str">
        <f t="shared" si="4"/>
        <v/>
      </c>
      <c r="CC33" s="142" t="str">
        <f t="shared" si="29"/>
        <v/>
      </c>
      <c r="CD33" s="142" t="str">
        <f t="shared" si="30"/>
        <v/>
      </c>
      <c r="CE33" s="142" t="str">
        <f t="shared" si="31"/>
        <v/>
      </c>
      <c r="CF33" s="142" t="str">
        <f t="shared" si="32"/>
        <v/>
      </c>
      <c r="CG33" s="142" t="str">
        <f t="shared" si="20"/>
        <v/>
      </c>
      <c r="CH33" s="142" t="str">
        <f t="shared" si="21"/>
        <v/>
      </c>
      <c r="CI33" s="142" t="str">
        <f t="shared" si="33"/>
        <v/>
      </c>
      <c r="CJ33" s="142" t="str">
        <f t="shared" si="10"/>
        <v/>
      </c>
      <c r="CK33" s="142" t="str">
        <f t="shared" si="34"/>
        <v/>
      </c>
      <c r="CL33" s="5"/>
      <c r="CM33" s="5"/>
      <c r="CN33" s="34">
        <f t="shared" si="35"/>
        <v>0</v>
      </c>
      <c r="CO33" s="34">
        <f t="shared" si="35"/>
        <v>0</v>
      </c>
      <c r="CP33" s="34">
        <f t="shared" si="36"/>
        <v>0</v>
      </c>
      <c r="CQ33" s="34">
        <f t="shared" si="14"/>
        <v>0</v>
      </c>
      <c r="CR33" s="34">
        <f t="shared" si="37"/>
        <v>0</v>
      </c>
      <c r="CS33" s="34">
        <f t="shared" si="16"/>
        <v>0</v>
      </c>
      <c r="CT33" s="34">
        <f t="shared" si="17"/>
        <v>0</v>
      </c>
      <c r="CU33" s="34">
        <f t="shared" si="17"/>
        <v>0</v>
      </c>
      <c r="CV33" s="34">
        <f t="shared" si="17"/>
        <v>0</v>
      </c>
      <c r="CW33" s="34">
        <f t="shared" si="38"/>
        <v>0</v>
      </c>
      <c r="CX33" s="34">
        <f t="shared" si="39"/>
        <v>0</v>
      </c>
      <c r="DK33" s="5"/>
      <c r="DL33" s="5"/>
      <c r="DM33" s="5"/>
      <c r="DN33" s="5"/>
      <c r="DO33" s="5"/>
      <c r="DP33" s="5"/>
      <c r="DQ33" s="5"/>
      <c r="DR33" s="5"/>
      <c r="DS33" s="5"/>
      <c r="DT33" s="5"/>
      <c r="DV33" s="346"/>
    </row>
    <row r="34" spans="1:126" s="800" customFormat="1" ht="15" customHeight="1">
      <c r="A34" s="2225"/>
      <c r="B34" s="1627" t="s">
        <v>607</v>
      </c>
      <c r="C34" s="1260">
        <f t="shared" si="26"/>
        <v>0</v>
      </c>
      <c r="D34" s="733">
        <f t="shared" si="27"/>
        <v>0</v>
      </c>
      <c r="E34" s="1131">
        <f t="shared" si="27"/>
        <v>0</v>
      </c>
      <c r="F34" s="722"/>
      <c r="G34" s="723"/>
      <c r="H34" s="722"/>
      <c r="I34" s="723"/>
      <c r="J34" s="722"/>
      <c r="K34" s="723"/>
      <c r="L34" s="722"/>
      <c r="M34" s="723"/>
      <c r="N34" s="722"/>
      <c r="O34" s="723"/>
      <c r="P34" s="722"/>
      <c r="Q34" s="723"/>
      <c r="R34" s="722"/>
      <c r="S34" s="723"/>
      <c r="T34" s="722"/>
      <c r="U34" s="723"/>
      <c r="V34" s="722"/>
      <c r="W34" s="723"/>
      <c r="X34" s="722"/>
      <c r="Y34" s="723"/>
      <c r="Z34" s="722"/>
      <c r="AA34" s="723"/>
      <c r="AB34" s="722"/>
      <c r="AC34" s="723"/>
      <c r="AD34" s="722"/>
      <c r="AE34" s="723"/>
      <c r="AF34" s="722"/>
      <c r="AG34" s="723"/>
      <c r="AH34" s="722"/>
      <c r="AI34" s="723"/>
      <c r="AJ34" s="722"/>
      <c r="AK34" s="723"/>
      <c r="AL34" s="722"/>
      <c r="AM34" s="762"/>
      <c r="AN34" s="1132"/>
      <c r="AO34" s="1133"/>
      <c r="AP34" s="852"/>
      <c r="AQ34" s="723"/>
      <c r="AR34" s="852"/>
      <c r="AS34" s="723"/>
      <c r="AT34" s="850"/>
      <c r="AU34" s="850"/>
      <c r="AV34" s="850"/>
      <c r="AW34" s="850"/>
      <c r="AX34" s="850"/>
      <c r="AY34" s="1121" t="str">
        <f t="shared" si="2"/>
        <v/>
      </c>
      <c r="AZ34" s="1140"/>
      <c r="BA34" s="1140"/>
      <c r="CA34" s="142" t="str">
        <f t="shared" si="28"/>
        <v/>
      </c>
      <c r="CB34" s="142" t="str">
        <f t="shared" si="4"/>
        <v/>
      </c>
      <c r="CC34" s="142" t="str">
        <f t="shared" si="29"/>
        <v/>
      </c>
      <c r="CD34" s="142" t="str">
        <f t="shared" si="30"/>
        <v/>
      </c>
      <c r="CE34" s="142" t="str">
        <f t="shared" si="31"/>
        <v/>
      </c>
      <c r="CF34" s="142" t="str">
        <f t="shared" si="32"/>
        <v/>
      </c>
      <c r="CG34" s="142" t="str">
        <f t="shared" si="20"/>
        <v/>
      </c>
      <c r="CH34" s="142" t="str">
        <f t="shared" si="21"/>
        <v/>
      </c>
      <c r="CI34" s="142" t="str">
        <f t="shared" si="33"/>
        <v/>
      </c>
      <c r="CJ34" s="142" t="str">
        <f t="shared" si="10"/>
        <v/>
      </c>
      <c r="CK34" s="142" t="str">
        <f t="shared" si="34"/>
        <v/>
      </c>
      <c r="CL34" s="5"/>
      <c r="CM34" s="5"/>
      <c r="CN34" s="34">
        <f t="shared" si="35"/>
        <v>0</v>
      </c>
      <c r="CO34" s="34">
        <f t="shared" si="35"/>
        <v>0</v>
      </c>
      <c r="CP34" s="34">
        <f t="shared" si="36"/>
        <v>0</v>
      </c>
      <c r="CQ34" s="34">
        <f t="shared" si="14"/>
        <v>0</v>
      </c>
      <c r="CR34" s="34">
        <f t="shared" si="37"/>
        <v>0</v>
      </c>
      <c r="CS34" s="34">
        <f t="shared" si="16"/>
        <v>0</v>
      </c>
      <c r="CT34" s="34">
        <f t="shared" si="17"/>
        <v>0</v>
      </c>
      <c r="CU34" s="34">
        <f t="shared" si="17"/>
        <v>0</v>
      </c>
      <c r="CV34" s="34">
        <f t="shared" si="17"/>
        <v>0</v>
      </c>
      <c r="CW34" s="34">
        <f t="shared" si="38"/>
        <v>0</v>
      </c>
      <c r="CX34" s="34">
        <f t="shared" si="39"/>
        <v>0</v>
      </c>
      <c r="DK34" s="5"/>
      <c r="DL34" s="5"/>
      <c r="DM34" s="5"/>
      <c r="DN34" s="5"/>
      <c r="DO34" s="5"/>
      <c r="DP34" s="5"/>
      <c r="DQ34" s="5"/>
      <c r="DR34" s="5"/>
      <c r="DS34" s="5"/>
      <c r="DT34" s="5"/>
      <c r="DV34" s="346"/>
    </row>
    <row r="35" spans="1:126" s="800" customFormat="1" ht="15" customHeight="1">
      <c r="A35" s="2223" t="s">
        <v>608</v>
      </c>
      <c r="B35" s="1124" t="s">
        <v>609</v>
      </c>
      <c r="C35" s="1261">
        <f t="shared" si="26"/>
        <v>0</v>
      </c>
      <c r="D35" s="697">
        <f t="shared" si="27"/>
        <v>0</v>
      </c>
      <c r="E35" s="1137">
        <f t="shared" si="27"/>
        <v>0</v>
      </c>
      <c r="F35" s="699"/>
      <c r="G35" s="700"/>
      <c r="H35" s="699"/>
      <c r="I35" s="700"/>
      <c r="J35" s="699"/>
      <c r="K35" s="700"/>
      <c r="L35" s="699"/>
      <c r="M35" s="700"/>
      <c r="N35" s="699"/>
      <c r="O35" s="700"/>
      <c r="P35" s="699"/>
      <c r="Q35" s="700"/>
      <c r="R35" s="699"/>
      <c r="S35" s="700"/>
      <c r="T35" s="699"/>
      <c r="U35" s="700"/>
      <c r="V35" s="699"/>
      <c r="W35" s="700"/>
      <c r="X35" s="699"/>
      <c r="Y35" s="700"/>
      <c r="Z35" s="699"/>
      <c r="AA35" s="700"/>
      <c r="AB35" s="699"/>
      <c r="AC35" s="700"/>
      <c r="AD35" s="699"/>
      <c r="AE35" s="700"/>
      <c r="AF35" s="699"/>
      <c r="AG35" s="700"/>
      <c r="AH35" s="699"/>
      <c r="AI35" s="700"/>
      <c r="AJ35" s="699"/>
      <c r="AK35" s="700"/>
      <c r="AL35" s="699"/>
      <c r="AM35" s="730"/>
      <c r="AN35" s="1126"/>
      <c r="AO35" s="1150"/>
      <c r="AP35" s="784"/>
      <c r="AQ35" s="700"/>
      <c r="AR35" s="784"/>
      <c r="AS35" s="700"/>
      <c r="AT35" s="783"/>
      <c r="AU35" s="783"/>
      <c r="AV35" s="783"/>
      <c r="AW35" s="783"/>
      <c r="AX35" s="783"/>
      <c r="AY35" s="1121" t="str">
        <f t="shared" si="2"/>
        <v/>
      </c>
      <c r="AZ35" s="1140"/>
      <c r="BA35" s="1140"/>
      <c r="CA35" s="142" t="str">
        <f t="shared" si="28"/>
        <v/>
      </c>
      <c r="CB35" s="35"/>
      <c r="CC35" s="142" t="str">
        <f t="shared" si="29"/>
        <v/>
      </c>
      <c r="CD35" s="142" t="str">
        <f t="shared" si="30"/>
        <v/>
      </c>
      <c r="CE35" s="142" t="str">
        <f t="shared" si="31"/>
        <v/>
      </c>
      <c r="CF35" s="142" t="str">
        <f t="shared" si="32"/>
        <v/>
      </c>
      <c r="CG35" s="142" t="str">
        <f t="shared" si="20"/>
        <v/>
      </c>
      <c r="CH35" s="142" t="str">
        <f t="shared" si="21"/>
        <v/>
      </c>
      <c r="CI35" s="142" t="str">
        <f t="shared" si="33"/>
        <v/>
      </c>
      <c r="CJ35" s="142" t="str">
        <f t="shared" si="10"/>
        <v/>
      </c>
      <c r="CK35" s="142" t="str">
        <f t="shared" si="34"/>
        <v/>
      </c>
      <c r="CL35" s="5"/>
      <c r="CM35" s="5"/>
      <c r="CN35" s="34">
        <f t="shared" si="35"/>
        <v>0</v>
      </c>
      <c r="CO35" s="35"/>
      <c r="CP35" s="34">
        <f t="shared" si="36"/>
        <v>0</v>
      </c>
      <c r="CQ35" s="34">
        <f t="shared" si="14"/>
        <v>0</v>
      </c>
      <c r="CR35" s="34">
        <f t="shared" si="37"/>
        <v>0</v>
      </c>
      <c r="CS35" s="34">
        <f t="shared" si="16"/>
        <v>0</v>
      </c>
      <c r="CT35" s="34">
        <f t="shared" ref="CT35:CV50" si="40">IF(AND($C35&gt;0,OR(AT35="")),1,IF(AT35&gt;$C35,1,0))</f>
        <v>0</v>
      </c>
      <c r="CU35" s="34">
        <f t="shared" si="40"/>
        <v>0</v>
      </c>
      <c r="CV35" s="34">
        <f t="shared" si="40"/>
        <v>0</v>
      </c>
      <c r="CW35" s="34">
        <f t="shared" si="38"/>
        <v>0</v>
      </c>
      <c r="CX35" s="34">
        <f t="shared" si="39"/>
        <v>0</v>
      </c>
      <c r="DK35" s="5"/>
      <c r="DL35" s="5"/>
      <c r="DM35" s="5"/>
      <c r="DN35" s="5"/>
      <c r="DO35" s="5"/>
      <c r="DP35" s="5"/>
      <c r="DQ35" s="5"/>
      <c r="DR35" s="5"/>
      <c r="DS35" s="5"/>
      <c r="DT35" s="5"/>
      <c r="DV35" s="346"/>
    </row>
    <row r="36" spans="1:126" s="800" customFormat="1" ht="15" customHeight="1">
      <c r="A36" s="2224"/>
      <c r="B36" s="1141" t="s">
        <v>610</v>
      </c>
      <c r="C36" s="1262">
        <f t="shared" si="26"/>
        <v>0</v>
      </c>
      <c r="D36" s="707">
        <f t="shared" si="27"/>
        <v>0</v>
      </c>
      <c r="E36" s="1144">
        <f t="shared" si="27"/>
        <v>0</v>
      </c>
      <c r="F36" s="709"/>
      <c r="G36" s="710"/>
      <c r="H36" s="709"/>
      <c r="I36" s="710"/>
      <c r="J36" s="709"/>
      <c r="K36" s="710"/>
      <c r="L36" s="709"/>
      <c r="M36" s="710"/>
      <c r="N36" s="709"/>
      <c r="O36" s="928"/>
      <c r="P36" s="709"/>
      <c r="Q36" s="710"/>
      <c r="R36" s="709"/>
      <c r="S36" s="710"/>
      <c r="T36" s="709"/>
      <c r="U36" s="710"/>
      <c r="V36" s="709"/>
      <c r="W36" s="710"/>
      <c r="X36" s="709"/>
      <c r="Y36" s="710"/>
      <c r="Z36" s="709"/>
      <c r="AA36" s="710"/>
      <c r="AB36" s="709"/>
      <c r="AC36" s="710"/>
      <c r="AD36" s="709"/>
      <c r="AE36" s="710"/>
      <c r="AF36" s="709"/>
      <c r="AG36" s="710"/>
      <c r="AH36" s="709"/>
      <c r="AI36" s="710"/>
      <c r="AJ36" s="709"/>
      <c r="AK36" s="710"/>
      <c r="AL36" s="709"/>
      <c r="AM36" s="731"/>
      <c r="AN36" s="1142"/>
      <c r="AO36" s="1151"/>
      <c r="AP36" s="928"/>
      <c r="AQ36" s="710"/>
      <c r="AR36" s="928"/>
      <c r="AS36" s="710"/>
      <c r="AT36" s="900"/>
      <c r="AU36" s="900"/>
      <c r="AV36" s="900"/>
      <c r="AW36" s="900"/>
      <c r="AX36" s="900"/>
      <c r="AY36" s="1121" t="str">
        <f t="shared" si="2"/>
        <v/>
      </c>
      <c r="AZ36" s="1140"/>
      <c r="BA36" s="1140"/>
      <c r="CA36" s="142" t="str">
        <f t="shared" si="28"/>
        <v/>
      </c>
      <c r="CB36" s="35"/>
      <c r="CC36" s="142" t="str">
        <f t="shared" si="29"/>
        <v/>
      </c>
      <c r="CD36" s="142" t="str">
        <f t="shared" si="30"/>
        <v/>
      </c>
      <c r="CE36" s="142" t="str">
        <f t="shared" si="31"/>
        <v/>
      </c>
      <c r="CF36" s="142" t="str">
        <f t="shared" si="32"/>
        <v/>
      </c>
      <c r="CG36" s="142" t="str">
        <f t="shared" si="20"/>
        <v/>
      </c>
      <c r="CH36" s="142" t="str">
        <f t="shared" si="21"/>
        <v/>
      </c>
      <c r="CI36" s="142" t="str">
        <f t="shared" si="33"/>
        <v/>
      </c>
      <c r="CJ36" s="142" t="str">
        <f t="shared" si="10"/>
        <v/>
      </c>
      <c r="CK36" s="142" t="str">
        <f t="shared" si="34"/>
        <v/>
      </c>
      <c r="CL36" s="5"/>
      <c r="CM36" s="5"/>
      <c r="CN36" s="34">
        <f t="shared" si="35"/>
        <v>0</v>
      </c>
      <c r="CO36" s="35"/>
      <c r="CP36" s="34">
        <f t="shared" si="36"/>
        <v>0</v>
      </c>
      <c r="CQ36" s="34">
        <f t="shared" si="14"/>
        <v>0</v>
      </c>
      <c r="CR36" s="34">
        <f t="shared" si="37"/>
        <v>0</v>
      </c>
      <c r="CS36" s="34">
        <f t="shared" si="16"/>
        <v>0</v>
      </c>
      <c r="CT36" s="34">
        <f t="shared" si="40"/>
        <v>0</v>
      </c>
      <c r="CU36" s="34">
        <f t="shared" si="40"/>
        <v>0</v>
      </c>
      <c r="CV36" s="34">
        <f t="shared" si="40"/>
        <v>0</v>
      </c>
      <c r="CW36" s="34">
        <f t="shared" si="38"/>
        <v>0</v>
      </c>
      <c r="CX36" s="34">
        <f t="shared" si="39"/>
        <v>0</v>
      </c>
      <c r="DK36" s="5"/>
      <c r="DL36" s="5"/>
      <c r="DM36" s="5"/>
      <c r="DN36" s="5"/>
      <c r="DO36" s="5"/>
      <c r="DP36" s="5"/>
      <c r="DQ36" s="5"/>
      <c r="DR36" s="5"/>
      <c r="DS36" s="5"/>
      <c r="DT36" s="5"/>
      <c r="DV36" s="346"/>
    </row>
    <row r="37" spans="1:126" s="800" customFormat="1" ht="15" customHeight="1">
      <c r="A37" s="2224"/>
      <c r="B37" s="1141" t="s">
        <v>611</v>
      </c>
      <c r="C37" s="965">
        <f t="shared" si="26"/>
        <v>0</v>
      </c>
      <c r="D37" s="740">
        <f>+F37+H37+J37</f>
        <v>0</v>
      </c>
      <c r="E37" s="1125">
        <f>+G37+I37+K37</f>
        <v>0</v>
      </c>
      <c r="F37" s="709"/>
      <c r="G37" s="710"/>
      <c r="H37" s="709"/>
      <c r="I37" s="710"/>
      <c r="J37" s="709"/>
      <c r="K37" s="710"/>
      <c r="L37" s="713"/>
      <c r="M37" s="714"/>
      <c r="N37" s="713"/>
      <c r="O37" s="714"/>
      <c r="P37" s="713"/>
      <c r="Q37" s="714"/>
      <c r="R37" s="713"/>
      <c r="S37" s="714"/>
      <c r="T37" s="713"/>
      <c r="U37" s="714"/>
      <c r="V37" s="713"/>
      <c r="W37" s="714"/>
      <c r="X37" s="713"/>
      <c r="Y37" s="714"/>
      <c r="Z37" s="713"/>
      <c r="AA37" s="714"/>
      <c r="AB37" s="713"/>
      <c r="AC37" s="714"/>
      <c r="AD37" s="713"/>
      <c r="AE37" s="714"/>
      <c r="AF37" s="713"/>
      <c r="AG37" s="714"/>
      <c r="AH37" s="713"/>
      <c r="AI37" s="714"/>
      <c r="AJ37" s="713"/>
      <c r="AK37" s="714"/>
      <c r="AL37" s="713"/>
      <c r="AM37" s="759"/>
      <c r="AN37" s="1142"/>
      <c r="AO37" s="1151"/>
      <c r="AP37" s="928"/>
      <c r="AQ37" s="710"/>
      <c r="AR37" s="928"/>
      <c r="AS37" s="710"/>
      <c r="AT37" s="900"/>
      <c r="AU37" s="900"/>
      <c r="AV37" s="900"/>
      <c r="AW37" s="900"/>
      <c r="AX37" s="900"/>
      <c r="AY37" s="1121" t="str">
        <f t="shared" si="2"/>
        <v/>
      </c>
      <c r="AZ37" s="1140"/>
      <c r="BA37" s="1140"/>
      <c r="CA37" s="142" t="str">
        <f t="shared" si="28"/>
        <v/>
      </c>
      <c r="CB37" s="35"/>
      <c r="CC37" s="142" t="str">
        <f t="shared" si="29"/>
        <v/>
      </c>
      <c r="CD37" s="142" t="str">
        <f t="shared" si="30"/>
        <v/>
      </c>
      <c r="CE37" s="142" t="str">
        <f t="shared" si="31"/>
        <v/>
      </c>
      <c r="CF37" s="142" t="str">
        <f t="shared" si="32"/>
        <v/>
      </c>
      <c r="CG37" s="142" t="str">
        <f t="shared" si="20"/>
        <v/>
      </c>
      <c r="CH37" s="142" t="str">
        <f t="shared" si="21"/>
        <v/>
      </c>
      <c r="CI37" s="142" t="str">
        <f t="shared" si="33"/>
        <v/>
      </c>
      <c r="CJ37" s="142" t="str">
        <f t="shared" si="10"/>
        <v/>
      </c>
      <c r="CK37" s="142" t="str">
        <f t="shared" si="34"/>
        <v/>
      </c>
      <c r="CL37" s="5"/>
      <c r="CM37" s="5"/>
      <c r="CN37" s="34">
        <f t="shared" si="35"/>
        <v>0</v>
      </c>
      <c r="CO37" s="35"/>
      <c r="CP37" s="34">
        <f t="shared" si="36"/>
        <v>0</v>
      </c>
      <c r="CQ37" s="34">
        <f t="shared" si="14"/>
        <v>0</v>
      </c>
      <c r="CR37" s="34">
        <f t="shared" si="37"/>
        <v>0</v>
      </c>
      <c r="CS37" s="34">
        <f t="shared" si="16"/>
        <v>0</v>
      </c>
      <c r="CT37" s="34">
        <f t="shared" si="40"/>
        <v>0</v>
      </c>
      <c r="CU37" s="34">
        <f t="shared" si="40"/>
        <v>0</v>
      </c>
      <c r="CV37" s="34">
        <f t="shared" si="40"/>
        <v>0</v>
      </c>
      <c r="CW37" s="34">
        <f t="shared" si="38"/>
        <v>0</v>
      </c>
      <c r="CX37" s="34">
        <f t="shared" si="39"/>
        <v>0</v>
      </c>
      <c r="DK37" s="5"/>
      <c r="DL37" s="5"/>
      <c r="DM37" s="5"/>
      <c r="DN37" s="5"/>
      <c r="DO37" s="5"/>
      <c r="DP37" s="5"/>
      <c r="DQ37" s="5"/>
      <c r="DR37" s="5"/>
      <c r="DS37" s="5"/>
      <c r="DT37" s="5"/>
      <c r="DV37" s="346"/>
    </row>
    <row r="38" spans="1:126" s="800" customFormat="1" ht="23.25" customHeight="1">
      <c r="A38" s="2225"/>
      <c r="B38" s="1627" t="s">
        <v>612</v>
      </c>
      <c r="C38" s="962">
        <f t="shared" si="26"/>
        <v>0</v>
      </c>
      <c r="D38" s="733">
        <f>+F38+H38+J38+L38+N38</f>
        <v>0</v>
      </c>
      <c r="E38" s="1131">
        <f>+G38+I38+K38+M38+O38</f>
        <v>0</v>
      </c>
      <c r="F38" s="722"/>
      <c r="G38" s="723"/>
      <c r="H38" s="722"/>
      <c r="I38" s="723"/>
      <c r="J38" s="722"/>
      <c r="K38" s="723"/>
      <c r="L38" s="722"/>
      <c r="M38" s="723"/>
      <c r="N38" s="722"/>
      <c r="O38" s="723"/>
      <c r="P38" s="744"/>
      <c r="Q38" s="745"/>
      <c r="R38" s="744"/>
      <c r="S38" s="745"/>
      <c r="T38" s="744"/>
      <c r="U38" s="745"/>
      <c r="V38" s="744"/>
      <c r="W38" s="745"/>
      <c r="X38" s="744"/>
      <c r="Y38" s="745"/>
      <c r="Z38" s="744"/>
      <c r="AA38" s="745"/>
      <c r="AB38" s="744"/>
      <c r="AC38" s="745"/>
      <c r="AD38" s="744"/>
      <c r="AE38" s="745"/>
      <c r="AF38" s="744"/>
      <c r="AG38" s="745"/>
      <c r="AH38" s="744"/>
      <c r="AI38" s="745"/>
      <c r="AJ38" s="744"/>
      <c r="AK38" s="745"/>
      <c r="AL38" s="744"/>
      <c r="AM38" s="1152"/>
      <c r="AN38" s="1132"/>
      <c r="AO38" s="1153"/>
      <c r="AP38" s="852"/>
      <c r="AQ38" s="723"/>
      <c r="AR38" s="852"/>
      <c r="AS38" s="723"/>
      <c r="AT38" s="850"/>
      <c r="AU38" s="850"/>
      <c r="AV38" s="850"/>
      <c r="AW38" s="850"/>
      <c r="AX38" s="850"/>
      <c r="AY38" s="1121" t="str">
        <f t="shared" si="2"/>
        <v/>
      </c>
      <c r="AZ38" s="1140"/>
      <c r="BA38" s="1140"/>
      <c r="CA38" s="142" t="str">
        <f t="shared" si="28"/>
        <v/>
      </c>
      <c r="CB38" s="35"/>
      <c r="CC38" s="142" t="str">
        <f t="shared" si="29"/>
        <v/>
      </c>
      <c r="CD38" s="142" t="str">
        <f t="shared" si="30"/>
        <v/>
      </c>
      <c r="CE38" s="142" t="str">
        <f t="shared" si="31"/>
        <v/>
      </c>
      <c r="CF38" s="142" t="str">
        <f t="shared" si="32"/>
        <v/>
      </c>
      <c r="CG38" s="142" t="str">
        <f t="shared" si="20"/>
        <v/>
      </c>
      <c r="CH38" s="142" t="str">
        <f t="shared" si="21"/>
        <v/>
      </c>
      <c r="CI38" s="142" t="str">
        <f t="shared" si="33"/>
        <v/>
      </c>
      <c r="CJ38" s="142" t="str">
        <f t="shared" si="10"/>
        <v/>
      </c>
      <c r="CK38" s="142" t="str">
        <f t="shared" si="34"/>
        <v/>
      </c>
      <c r="CL38" s="5"/>
      <c r="CM38" s="5"/>
      <c r="CN38" s="34">
        <f t="shared" si="35"/>
        <v>0</v>
      </c>
      <c r="CO38" s="35"/>
      <c r="CP38" s="34">
        <f t="shared" si="36"/>
        <v>0</v>
      </c>
      <c r="CQ38" s="34">
        <f t="shared" si="14"/>
        <v>0</v>
      </c>
      <c r="CR38" s="34">
        <f t="shared" si="37"/>
        <v>0</v>
      </c>
      <c r="CS38" s="34">
        <f t="shared" si="16"/>
        <v>0</v>
      </c>
      <c r="CT38" s="34">
        <f t="shared" si="40"/>
        <v>0</v>
      </c>
      <c r="CU38" s="34">
        <f t="shared" si="40"/>
        <v>0</v>
      </c>
      <c r="CV38" s="34">
        <f t="shared" si="40"/>
        <v>0</v>
      </c>
      <c r="CW38" s="34">
        <f t="shared" si="38"/>
        <v>0</v>
      </c>
      <c r="CX38" s="34">
        <f t="shared" si="39"/>
        <v>0</v>
      </c>
      <c r="DK38" s="5"/>
      <c r="DL38" s="5"/>
      <c r="DM38" s="5"/>
      <c r="DN38" s="5"/>
      <c r="DO38" s="5"/>
      <c r="DP38" s="5"/>
      <c r="DQ38" s="5"/>
      <c r="DR38" s="5"/>
      <c r="DS38" s="5"/>
      <c r="DT38" s="5"/>
      <c r="DV38" s="346"/>
    </row>
    <row r="39" spans="1:126" s="800" customFormat="1" ht="15" customHeight="1">
      <c r="A39" s="2223" t="s">
        <v>613</v>
      </c>
      <c r="B39" s="1124" t="s">
        <v>614</v>
      </c>
      <c r="C39" s="962">
        <f t="shared" si="26"/>
        <v>0</v>
      </c>
      <c r="D39" s="1155">
        <f t="shared" ref="D39:E43" si="41">SUM(F39+H39+J39+L39+N39+P39+R39+T39+V39+X39+Z39+AB39+AD39+AF39+AH39+AJ39+AL39)</f>
        <v>0</v>
      </c>
      <c r="E39" s="1156">
        <f>SUM(G39+I39+K39+M39+O39+Q39+S39+U39+W39+Y39+AA39+AC39+AE39+AG39+AI39+AK39+AM39)</f>
        <v>0</v>
      </c>
      <c r="F39" s="751"/>
      <c r="G39" s="752"/>
      <c r="H39" s="751"/>
      <c r="I39" s="752"/>
      <c r="J39" s="751"/>
      <c r="K39" s="752"/>
      <c r="L39" s="709"/>
      <c r="M39" s="710"/>
      <c r="N39" s="699"/>
      <c r="O39" s="928"/>
      <c r="P39" s="709"/>
      <c r="Q39" s="928"/>
      <c r="R39" s="709"/>
      <c r="S39" s="928"/>
      <c r="T39" s="709"/>
      <c r="U39" s="928"/>
      <c r="V39" s="709"/>
      <c r="W39" s="928"/>
      <c r="X39" s="709"/>
      <c r="Y39" s="928"/>
      <c r="Z39" s="709"/>
      <c r="AA39" s="928"/>
      <c r="AB39" s="709"/>
      <c r="AC39" s="928"/>
      <c r="AD39" s="709"/>
      <c r="AE39" s="928"/>
      <c r="AF39" s="709"/>
      <c r="AG39" s="928"/>
      <c r="AH39" s="709"/>
      <c r="AI39" s="928"/>
      <c r="AJ39" s="709"/>
      <c r="AK39" s="928"/>
      <c r="AL39" s="709"/>
      <c r="AM39" s="730"/>
      <c r="AN39" s="1126"/>
      <c r="AO39" s="1127"/>
      <c r="AP39" s="928"/>
      <c r="AQ39" s="900"/>
      <c r="AR39" s="928"/>
      <c r="AS39" s="710"/>
      <c r="AT39" s="783"/>
      <c r="AU39" s="783"/>
      <c r="AV39" s="700"/>
      <c r="AW39" s="700"/>
      <c r="AX39" s="700"/>
      <c r="AY39" s="1121" t="str">
        <f t="shared" si="2"/>
        <v/>
      </c>
      <c r="AZ39" s="1140"/>
      <c r="BA39" s="1140"/>
      <c r="CA39" s="142" t="str">
        <f t="shared" si="28"/>
        <v/>
      </c>
      <c r="CB39" s="142" t="str">
        <f t="shared" ref="CB39:CB43" si="42">IF(AND(C39&gt;0,OR(AO39=""))," * No olvide digitar la variable Madre de hijo menor de 5 años. Digite Cero si no tiene.",IF(AO39&gt;C39," * La variable Madre de hijo menor de 5 años no puede ser Mayor al Total Mujeres.",""))</f>
        <v/>
      </c>
      <c r="CC39" s="142" t="str">
        <f t="shared" si="29"/>
        <v/>
      </c>
      <c r="CD39" s="142" t="str">
        <f t="shared" si="30"/>
        <v/>
      </c>
      <c r="CE39" s="142" t="str">
        <f t="shared" si="31"/>
        <v/>
      </c>
      <c r="CF39" s="142" t="str">
        <f t="shared" si="32"/>
        <v/>
      </c>
      <c r="CG39" s="142" t="str">
        <f t="shared" si="20"/>
        <v/>
      </c>
      <c r="CH39" s="142" t="str">
        <f t="shared" si="21"/>
        <v/>
      </c>
      <c r="CI39" s="142" t="str">
        <f t="shared" si="33"/>
        <v/>
      </c>
      <c r="CJ39" s="142" t="str">
        <f t="shared" si="10"/>
        <v/>
      </c>
      <c r="CK39" s="142" t="str">
        <f t="shared" si="34"/>
        <v/>
      </c>
      <c r="CL39" s="5"/>
      <c r="CM39" s="5"/>
      <c r="CN39" s="34">
        <f t="shared" si="35"/>
        <v>0</v>
      </c>
      <c r="CO39" s="34">
        <f t="shared" si="35"/>
        <v>0</v>
      </c>
      <c r="CP39" s="34">
        <f>IF(AND($D39&gt;0,OR(AP39="")),1,IF(AP39&gt;$D39,1,0))</f>
        <v>0</v>
      </c>
      <c r="CQ39" s="34">
        <f>IF(AND($E39&gt;0,OR(AQ39="")),1,IF(AQ39&gt;$E39,1,0))</f>
        <v>0</v>
      </c>
      <c r="CR39" s="34">
        <f>IF(AND($D39&gt;0,OR(AR39="")),1,IF(AR39&gt;$D39,1,0))</f>
        <v>0</v>
      </c>
      <c r="CS39" s="34">
        <f>IF(AND($E39&gt;0,OR(AS39="")),1,IF(AS39&gt;$E39,1,0))</f>
        <v>0</v>
      </c>
      <c r="CT39" s="34">
        <f t="shared" si="40"/>
        <v>0</v>
      </c>
      <c r="CU39" s="34">
        <f t="shared" si="40"/>
        <v>0</v>
      </c>
      <c r="CV39" s="34">
        <f t="shared" si="40"/>
        <v>0</v>
      </c>
      <c r="CW39" s="34">
        <f t="shared" si="38"/>
        <v>0</v>
      </c>
      <c r="CX39" s="34">
        <f t="shared" si="39"/>
        <v>0</v>
      </c>
      <c r="DK39" s="5"/>
      <c r="DL39" s="5"/>
      <c r="DM39" s="5"/>
      <c r="DN39" s="5"/>
      <c r="DO39" s="5"/>
      <c r="DP39" s="5"/>
      <c r="DQ39" s="5"/>
      <c r="DR39" s="5"/>
      <c r="DS39" s="5"/>
      <c r="DT39" s="5"/>
      <c r="DV39" s="346"/>
    </row>
    <row r="40" spans="1:126" s="800" customFormat="1" ht="15" customHeight="1">
      <c r="A40" s="2224"/>
      <c r="B40" s="1141" t="s">
        <v>615</v>
      </c>
      <c r="C40" s="962">
        <f t="shared" si="26"/>
        <v>0</v>
      </c>
      <c r="D40" s="1155">
        <f t="shared" si="41"/>
        <v>0</v>
      </c>
      <c r="E40" s="1156">
        <f>SUM(G40+I40+K40+M40+O40+Q40+S40+U40+W40+Y40+AA40+AC40+AE40+AG40+AI40+AK40+AM40)</f>
        <v>0</v>
      </c>
      <c r="F40" s="709"/>
      <c r="G40" s="710"/>
      <c r="H40" s="709"/>
      <c r="I40" s="710"/>
      <c r="J40" s="709"/>
      <c r="K40" s="710"/>
      <c r="L40" s="709"/>
      <c r="M40" s="710"/>
      <c r="N40" s="709"/>
      <c r="O40" s="928"/>
      <c r="P40" s="709"/>
      <c r="Q40" s="928"/>
      <c r="R40" s="709"/>
      <c r="S40" s="928"/>
      <c r="T40" s="709"/>
      <c r="U40" s="928"/>
      <c r="V40" s="709"/>
      <c r="W40" s="928"/>
      <c r="X40" s="709"/>
      <c r="Y40" s="928"/>
      <c r="Z40" s="709"/>
      <c r="AA40" s="928"/>
      <c r="AB40" s="709"/>
      <c r="AC40" s="928"/>
      <c r="AD40" s="709"/>
      <c r="AE40" s="928"/>
      <c r="AF40" s="709"/>
      <c r="AG40" s="928"/>
      <c r="AH40" s="709"/>
      <c r="AI40" s="928"/>
      <c r="AJ40" s="709"/>
      <c r="AK40" s="928"/>
      <c r="AL40" s="709"/>
      <c r="AM40" s="731"/>
      <c r="AN40" s="1142"/>
      <c r="AO40" s="1143"/>
      <c r="AP40" s="928"/>
      <c r="AQ40" s="900"/>
      <c r="AR40" s="928"/>
      <c r="AS40" s="710"/>
      <c r="AT40" s="900"/>
      <c r="AU40" s="900"/>
      <c r="AV40" s="710"/>
      <c r="AW40" s="710"/>
      <c r="AX40" s="710"/>
      <c r="AY40" s="1121" t="str">
        <f t="shared" si="2"/>
        <v/>
      </c>
      <c r="AZ40" s="1140"/>
      <c r="BA40" s="1140"/>
      <c r="CA40" s="142" t="str">
        <f t="shared" si="28"/>
        <v/>
      </c>
      <c r="CB40" s="142" t="str">
        <f t="shared" si="42"/>
        <v/>
      </c>
      <c r="CC40" s="142" t="str">
        <f t="shared" si="29"/>
        <v/>
      </c>
      <c r="CD40" s="142" t="str">
        <f t="shared" si="30"/>
        <v/>
      </c>
      <c r="CE40" s="142" t="str">
        <f t="shared" si="31"/>
        <v/>
      </c>
      <c r="CF40" s="142" t="str">
        <f t="shared" si="32"/>
        <v/>
      </c>
      <c r="CG40" s="142" t="str">
        <f t="shared" si="20"/>
        <v/>
      </c>
      <c r="CH40" s="142" t="str">
        <f t="shared" si="21"/>
        <v/>
      </c>
      <c r="CI40" s="142" t="str">
        <f t="shared" si="33"/>
        <v/>
      </c>
      <c r="CJ40" s="142" t="str">
        <f t="shared" si="10"/>
        <v/>
      </c>
      <c r="CK40" s="142" t="str">
        <f t="shared" si="34"/>
        <v/>
      </c>
      <c r="CL40" s="5"/>
      <c r="CM40" s="5"/>
      <c r="CN40" s="34">
        <f t="shared" si="35"/>
        <v>0</v>
      </c>
      <c r="CO40" s="34">
        <f t="shared" si="35"/>
        <v>0</v>
      </c>
      <c r="CP40" s="34">
        <f>IF(AND($D40&gt;0,OR(AP40="")),1,IF(AP40&gt;$D40,1,0))</f>
        <v>0</v>
      </c>
      <c r="CQ40" s="34">
        <f>IF(AND($E40&gt;0,OR(AQ40="")),1,IF(AQ40&gt;$E40,1,0))</f>
        <v>0</v>
      </c>
      <c r="CR40" s="34">
        <f>IF(AND($D40&gt;0,OR(AR40="")),1,IF(AR40&gt;$D40,1,0))</f>
        <v>0</v>
      </c>
      <c r="CS40" s="34">
        <f>IF(AND($E40&gt;0,OR(AS40="")),1,IF(AS40&gt;$E40,1,0))</f>
        <v>0</v>
      </c>
      <c r="CT40" s="34">
        <f t="shared" si="40"/>
        <v>0</v>
      </c>
      <c r="CU40" s="34">
        <f t="shared" si="40"/>
        <v>0</v>
      </c>
      <c r="CV40" s="34">
        <f t="shared" si="40"/>
        <v>0</v>
      </c>
      <c r="CW40" s="34">
        <f t="shared" si="38"/>
        <v>0</v>
      </c>
      <c r="CX40" s="34">
        <f t="shared" si="39"/>
        <v>0</v>
      </c>
      <c r="DK40" s="5"/>
      <c r="DL40" s="5"/>
      <c r="DM40" s="5"/>
      <c r="DN40" s="5"/>
      <c r="DO40" s="5"/>
      <c r="DP40" s="5"/>
      <c r="DQ40" s="5"/>
      <c r="DR40" s="5"/>
      <c r="DS40" s="5"/>
      <c r="DT40" s="5"/>
      <c r="DV40" s="346"/>
    </row>
    <row r="41" spans="1:126" s="800" customFormat="1" ht="15" customHeight="1">
      <c r="A41" s="2224"/>
      <c r="B41" s="1141" t="s">
        <v>616</v>
      </c>
      <c r="C41" s="962">
        <f t="shared" si="26"/>
        <v>0</v>
      </c>
      <c r="D41" s="1158">
        <f>SUM(F41+H41+J41+L41+N41+P41+R41+T41+V41+X41+Z41+AB41+AD41+AF41+AH41+AJ41+AL41)</f>
        <v>0</v>
      </c>
      <c r="E41" s="1159">
        <f t="shared" si="41"/>
        <v>0</v>
      </c>
      <c r="F41" s="709"/>
      <c r="G41" s="710"/>
      <c r="H41" s="709"/>
      <c r="I41" s="710"/>
      <c r="J41" s="709"/>
      <c r="K41" s="710"/>
      <c r="L41" s="709"/>
      <c r="M41" s="710"/>
      <c r="N41" s="709"/>
      <c r="O41" s="928"/>
      <c r="P41" s="709"/>
      <c r="Q41" s="928"/>
      <c r="R41" s="709"/>
      <c r="S41" s="928"/>
      <c r="T41" s="709"/>
      <c r="U41" s="928"/>
      <c r="V41" s="709"/>
      <c r="W41" s="928"/>
      <c r="X41" s="709"/>
      <c r="Y41" s="928"/>
      <c r="Z41" s="709"/>
      <c r="AA41" s="928"/>
      <c r="AB41" s="709"/>
      <c r="AC41" s="928"/>
      <c r="AD41" s="709"/>
      <c r="AE41" s="928"/>
      <c r="AF41" s="709"/>
      <c r="AG41" s="928"/>
      <c r="AH41" s="709"/>
      <c r="AI41" s="928"/>
      <c r="AJ41" s="709"/>
      <c r="AK41" s="928"/>
      <c r="AL41" s="709"/>
      <c r="AM41" s="731"/>
      <c r="AN41" s="1142"/>
      <c r="AO41" s="1143"/>
      <c r="AP41" s="928"/>
      <c r="AQ41" s="900"/>
      <c r="AR41" s="928"/>
      <c r="AS41" s="710"/>
      <c r="AT41" s="900"/>
      <c r="AU41" s="900"/>
      <c r="AV41" s="710"/>
      <c r="AW41" s="710"/>
      <c r="AX41" s="710"/>
      <c r="AY41" s="1121" t="str">
        <f t="shared" si="2"/>
        <v/>
      </c>
      <c r="AZ41" s="1140"/>
      <c r="BA41" s="1140"/>
      <c r="CA41" s="142" t="str">
        <f t="shared" si="28"/>
        <v/>
      </c>
      <c r="CB41" s="142" t="str">
        <f t="shared" si="42"/>
        <v/>
      </c>
      <c r="CC41" s="142" t="str">
        <f t="shared" si="29"/>
        <v/>
      </c>
      <c r="CD41" s="142" t="str">
        <f t="shared" si="30"/>
        <v/>
      </c>
      <c r="CE41" s="142" t="str">
        <f t="shared" si="31"/>
        <v/>
      </c>
      <c r="CF41" s="142" t="str">
        <f t="shared" si="32"/>
        <v/>
      </c>
      <c r="CG41" s="142" t="str">
        <f t="shared" si="20"/>
        <v/>
      </c>
      <c r="CH41" s="142" t="str">
        <f t="shared" si="21"/>
        <v/>
      </c>
      <c r="CI41" s="142" t="str">
        <f t="shared" si="33"/>
        <v/>
      </c>
      <c r="CJ41" s="142" t="str">
        <f t="shared" si="10"/>
        <v/>
      </c>
      <c r="CK41" s="142" t="str">
        <f t="shared" si="34"/>
        <v/>
      </c>
      <c r="CL41" s="5"/>
      <c r="CM41" s="5"/>
      <c r="CN41" s="34">
        <f t="shared" si="35"/>
        <v>0</v>
      </c>
      <c r="CO41" s="34">
        <f t="shared" si="35"/>
        <v>0</v>
      </c>
      <c r="CP41" s="34">
        <f t="shared" ref="CP41:CP58" si="43">IF(AND($D41&gt;0,OR(AP41="")),1,IF(AP41&gt;$D41,1,0))</f>
        <v>0</v>
      </c>
      <c r="CQ41" s="34">
        <f t="shared" ref="CQ41:CQ58" si="44">IF(AND($E41&gt;0,OR(AQ41="")),1,IF(AQ41&gt;$E41,1,0))</f>
        <v>0</v>
      </c>
      <c r="CR41" s="34">
        <f t="shared" ref="CR41:CR58" si="45">IF(AND($D41&gt;0,OR(AR41="")),1,IF(AR41&gt;$D41,1,0))</f>
        <v>0</v>
      </c>
      <c r="CS41" s="34">
        <f t="shared" ref="CS41:CS58" si="46">IF(AND($E41&gt;0,OR(AS41="")),1,IF(AS41&gt;$E41,1,0))</f>
        <v>0</v>
      </c>
      <c r="CT41" s="34">
        <f t="shared" si="40"/>
        <v>0</v>
      </c>
      <c r="CU41" s="34">
        <f t="shared" si="40"/>
        <v>0</v>
      </c>
      <c r="CV41" s="34">
        <f t="shared" si="40"/>
        <v>0</v>
      </c>
      <c r="CW41" s="34">
        <f t="shared" si="38"/>
        <v>0</v>
      </c>
      <c r="CX41" s="34">
        <f t="shared" si="39"/>
        <v>0</v>
      </c>
      <c r="DK41" s="5"/>
      <c r="DL41" s="5"/>
      <c r="DM41" s="5"/>
      <c r="DN41" s="5"/>
      <c r="DO41" s="5"/>
      <c r="DP41" s="5"/>
      <c r="DQ41" s="5"/>
      <c r="DR41" s="5"/>
      <c r="DS41" s="5"/>
      <c r="DT41" s="5"/>
      <c r="DV41" s="346"/>
    </row>
    <row r="42" spans="1:126" s="800" customFormat="1" ht="15" customHeight="1">
      <c r="A42" s="2224"/>
      <c r="B42" s="1141" t="s">
        <v>617</v>
      </c>
      <c r="C42" s="962">
        <f t="shared" si="26"/>
        <v>0</v>
      </c>
      <c r="D42" s="1155">
        <f t="shared" si="41"/>
        <v>0</v>
      </c>
      <c r="E42" s="1156">
        <f t="shared" si="41"/>
        <v>0</v>
      </c>
      <c r="F42" s="709"/>
      <c r="G42" s="710"/>
      <c r="H42" s="709"/>
      <c r="I42" s="710"/>
      <c r="J42" s="709"/>
      <c r="K42" s="710"/>
      <c r="L42" s="709"/>
      <c r="M42" s="710"/>
      <c r="N42" s="709"/>
      <c r="O42" s="928"/>
      <c r="P42" s="709"/>
      <c r="Q42" s="928"/>
      <c r="R42" s="709"/>
      <c r="S42" s="928"/>
      <c r="T42" s="709"/>
      <c r="U42" s="928"/>
      <c r="V42" s="709"/>
      <c r="W42" s="928"/>
      <c r="X42" s="709"/>
      <c r="Y42" s="928"/>
      <c r="Z42" s="709"/>
      <c r="AA42" s="928"/>
      <c r="AB42" s="709"/>
      <c r="AC42" s="928"/>
      <c r="AD42" s="709"/>
      <c r="AE42" s="928"/>
      <c r="AF42" s="709"/>
      <c r="AG42" s="928"/>
      <c r="AH42" s="709"/>
      <c r="AI42" s="928"/>
      <c r="AJ42" s="709"/>
      <c r="AK42" s="928"/>
      <c r="AL42" s="709"/>
      <c r="AM42" s="731"/>
      <c r="AN42" s="1142"/>
      <c r="AO42" s="1143"/>
      <c r="AP42" s="928"/>
      <c r="AQ42" s="900"/>
      <c r="AR42" s="928"/>
      <c r="AS42" s="710"/>
      <c r="AT42" s="900"/>
      <c r="AU42" s="900"/>
      <c r="AV42" s="710"/>
      <c r="AW42" s="710"/>
      <c r="AX42" s="710"/>
      <c r="AY42" s="1121" t="str">
        <f t="shared" si="2"/>
        <v/>
      </c>
      <c r="AZ42" s="1140"/>
      <c r="BA42" s="1140"/>
      <c r="CA42" s="142" t="str">
        <f t="shared" si="28"/>
        <v/>
      </c>
      <c r="CB42" s="142" t="str">
        <f t="shared" si="42"/>
        <v/>
      </c>
      <c r="CC42" s="142" t="str">
        <f t="shared" si="29"/>
        <v/>
      </c>
      <c r="CD42" s="142" t="str">
        <f t="shared" si="30"/>
        <v/>
      </c>
      <c r="CE42" s="142" t="str">
        <f t="shared" si="31"/>
        <v/>
      </c>
      <c r="CF42" s="142" t="str">
        <f t="shared" si="32"/>
        <v/>
      </c>
      <c r="CG42" s="142" t="str">
        <f t="shared" si="20"/>
        <v/>
      </c>
      <c r="CH42" s="142" t="str">
        <f t="shared" si="21"/>
        <v/>
      </c>
      <c r="CI42" s="142" t="str">
        <f t="shared" si="33"/>
        <v/>
      </c>
      <c r="CJ42" s="142" t="str">
        <f t="shared" si="10"/>
        <v/>
      </c>
      <c r="CK42" s="142" t="str">
        <f t="shared" si="34"/>
        <v/>
      </c>
      <c r="CL42" s="5"/>
      <c r="CM42" s="5"/>
      <c r="CN42" s="34">
        <f t="shared" si="35"/>
        <v>0</v>
      </c>
      <c r="CO42" s="34">
        <f t="shared" si="35"/>
        <v>0</v>
      </c>
      <c r="CP42" s="34">
        <f t="shared" si="43"/>
        <v>0</v>
      </c>
      <c r="CQ42" s="34">
        <f t="shared" si="44"/>
        <v>0</v>
      </c>
      <c r="CR42" s="34">
        <f t="shared" si="45"/>
        <v>0</v>
      </c>
      <c r="CS42" s="34">
        <f t="shared" si="46"/>
        <v>0</v>
      </c>
      <c r="CT42" s="34">
        <f t="shared" si="40"/>
        <v>0</v>
      </c>
      <c r="CU42" s="34">
        <f t="shared" si="40"/>
        <v>0</v>
      </c>
      <c r="CV42" s="34">
        <f t="shared" si="40"/>
        <v>0</v>
      </c>
      <c r="CW42" s="34">
        <f t="shared" si="38"/>
        <v>0</v>
      </c>
      <c r="CX42" s="34">
        <f t="shared" si="39"/>
        <v>0</v>
      </c>
      <c r="DK42" s="5"/>
      <c r="DL42" s="5"/>
      <c r="DM42" s="5"/>
      <c r="DN42" s="5"/>
      <c r="DO42" s="5"/>
      <c r="DP42" s="5"/>
      <c r="DQ42" s="5"/>
      <c r="DR42" s="5"/>
      <c r="DS42" s="5"/>
      <c r="DT42" s="5"/>
      <c r="DV42" s="346"/>
    </row>
    <row r="43" spans="1:126" s="800" customFormat="1" ht="15" customHeight="1">
      <c r="A43" s="2225"/>
      <c r="B43" s="1627" t="s">
        <v>618</v>
      </c>
      <c r="C43" s="962">
        <f t="shared" si="26"/>
        <v>0</v>
      </c>
      <c r="D43" s="1160">
        <f t="shared" si="41"/>
        <v>0</v>
      </c>
      <c r="E43" s="1161">
        <f t="shared" si="41"/>
        <v>0</v>
      </c>
      <c r="F43" s="709"/>
      <c r="G43" s="710"/>
      <c r="H43" s="709"/>
      <c r="I43" s="710"/>
      <c r="J43" s="709"/>
      <c r="K43" s="710"/>
      <c r="L43" s="709"/>
      <c r="M43" s="710"/>
      <c r="N43" s="722"/>
      <c r="O43" s="928"/>
      <c r="P43" s="709"/>
      <c r="Q43" s="928"/>
      <c r="R43" s="709"/>
      <c r="S43" s="928"/>
      <c r="T43" s="709"/>
      <c r="U43" s="928"/>
      <c r="V43" s="709"/>
      <c r="W43" s="928"/>
      <c r="X43" s="709"/>
      <c r="Y43" s="928"/>
      <c r="Z43" s="709"/>
      <c r="AA43" s="928"/>
      <c r="AB43" s="709"/>
      <c r="AC43" s="928"/>
      <c r="AD43" s="709"/>
      <c r="AE43" s="928"/>
      <c r="AF43" s="709"/>
      <c r="AG43" s="928"/>
      <c r="AH43" s="709"/>
      <c r="AI43" s="928"/>
      <c r="AJ43" s="709"/>
      <c r="AK43" s="928"/>
      <c r="AL43" s="709"/>
      <c r="AM43" s="762"/>
      <c r="AN43" s="1132"/>
      <c r="AO43" s="1133"/>
      <c r="AP43" s="852"/>
      <c r="AQ43" s="723"/>
      <c r="AR43" s="852"/>
      <c r="AS43" s="723"/>
      <c r="AT43" s="850"/>
      <c r="AU43" s="850"/>
      <c r="AV43" s="723"/>
      <c r="AW43" s="723"/>
      <c r="AX43" s="723"/>
      <c r="AY43" s="1121" t="str">
        <f t="shared" si="2"/>
        <v/>
      </c>
      <c r="AZ43" s="1140"/>
      <c r="BA43" s="1140"/>
      <c r="CA43" s="142" t="str">
        <f t="shared" si="28"/>
        <v/>
      </c>
      <c r="CB43" s="142" t="str">
        <f t="shared" si="42"/>
        <v/>
      </c>
      <c r="CC43" s="142" t="str">
        <f t="shared" si="29"/>
        <v/>
      </c>
      <c r="CD43" s="142" t="str">
        <f t="shared" si="30"/>
        <v/>
      </c>
      <c r="CE43" s="142" t="str">
        <f t="shared" si="31"/>
        <v/>
      </c>
      <c r="CF43" s="142" t="str">
        <f t="shared" si="32"/>
        <v/>
      </c>
      <c r="CG43" s="142" t="str">
        <f t="shared" si="20"/>
        <v/>
      </c>
      <c r="CH43" s="142" t="str">
        <f t="shared" si="21"/>
        <v/>
      </c>
      <c r="CI43" s="142" t="str">
        <f t="shared" si="33"/>
        <v/>
      </c>
      <c r="CJ43" s="142" t="str">
        <f t="shared" si="10"/>
        <v/>
      </c>
      <c r="CK43" s="142" t="str">
        <f t="shared" si="34"/>
        <v/>
      </c>
      <c r="CL43" s="5"/>
      <c r="CM43" s="5"/>
      <c r="CN43" s="34">
        <f t="shared" si="35"/>
        <v>0</v>
      </c>
      <c r="CO43" s="34">
        <f t="shared" si="35"/>
        <v>0</v>
      </c>
      <c r="CP43" s="34">
        <f t="shared" si="43"/>
        <v>0</v>
      </c>
      <c r="CQ43" s="34">
        <f t="shared" si="44"/>
        <v>0</v>
      </c>
      <c r="CR43" s="34">
        <f t="shared" si="45"/>
        <v>0</v>
      </c>
      <c r="CS43" s="34">
        <f t="shared" si="46"/>
        <v>0</v>
      </c>
      <c r="CT43" s="34">
        <f t="shared" si="40"/>
        <v>0</v>
      </c>
      <c r="CU43" s="34">
        <f t="shared" si="40"/>
        <v>0</v>
      </c>
      <c r="CV43" s="34">
        <f t="shared" si="40"/>
        <v>0</v>
      </c>
      <c r="CW43" s="34">
        <f t="shared" si="38"/>
        <v>0</v>
      </c>
      <c r="CX43" s="34">
        <f t="shared" si="39"/>
        <v>0</v>
      </c>
      <c r="DK43" s="5"/>
      <c r="DL43" s="5"/>
      <c r="DM43" s="5"/>
      <c r="DN43" s="5"/>
      <c r="DO43" s="5"/>
      <c r="DP43" s="5"/>
      <c r="DQ43" s="5"/>
      <c r="DR43" s="5"/>
      <c r="DS43" s="5"/>
      <c r="DT43" s="5"/>
      <c r="DV43" s="346"/>
    </row>
    <row r="44" spans="1:126" s="800" customFormat="1" ht="15" customHeight="1">
      <c r="A44" s="2223" t="s">
        <v>619</v>
      </c>
      <c r="B44" s="1124" t="s">
        <v>364</v>
      </c>
      <c r="C44" s="1261">
        <f t="shared" si="26"/>
        <v>0</v>
      </c>
      <c r="D44" s="697">
        <f t="shared" ref="D44:E58" si="47">+F44+H44+J44+L44+N44+P44+R44+T44+V44+X44+Z44+AB44+AD44+AF44+AH44+AJ44+AL44</f>
        <v>0</v>
      </c>
      <c r="E44" s="1137">
        <f t="shared" si="47"/>
        <v>0</v>
      </c>
      <c r="F44" s="1162"/>
      <c r="G44" s="1163"/>
      <c r="H44" s="1162"/>
      <c r="I44" s="1163"/>
      <c r="J44" s="1162"/>
      <c r="K44" s="1163"/>
      <c r="L44" s="1162"/>
      <c r="M44" s="1163"/>
      <c r="N44" s="1162"/>
      <c r="O44" s="1163"/>
      <c r="P44" s="1162"/>
      <c r="Q44" s="1163"/>
      <c r="R44" s="699"/>
      <c r="S44" s="700"/>
      <c r="T44" s="699"/>
      <c r="U44" s="700"/>
      <c r="V44" s="699"/>
      <c r="W44" s="700"/>
      <c r="X44" s="699"/>
      <c r="Y44" s="700"/>
      <c r="Z44" s="699"/>
      <c r="AA44" s="700"/>
      <c r="AB44" s="699"/>
      <c r="AC44" s="700"/>
      <c r="AD44" s="699"/>
      <c r="AE44" s="700"/>
      <c r="AF44" s="699"/>
      <c r="AG44" s="700"/>
      <c r="AH44" s="699"/>
      <c r="AI44" s="700"/>
      <c r="AJ44" s="699"/>
      <c r="AK44" s="700"/>
      <c r="AL44" s="699"/>
      <c r="AM44" s="730"/>
      <c r="AN44" s="1164"/>
      <c r="AO44" s="1165"/>
      <c r="AP44" s="699"/>
      <c r="AQ44" s="783"/>
      <c r="AR44" s="784"/>
      <c r="AS44" s="700"/>
      <c r="AT44" s="843"/>
      <c r="AU44" s="843"/>
      <c r="AV44" s="700"/>
      <c r="AW44" s="700"/>
      <c r="AX44" s="700"/>
      <c r="AY44" s="1121" t="str">
        <f t="shared" si="2"/>
        <v/>
      </c>
      <c r="AZ44" s="1140"/>
      <c r="BA44" s="1140"/>
      <c r="CA44" s="35"/>
      <c r="CB44" s="35"/>
      <c r="CC44" s="142" t="str">
        <f>IF(AND(D44&gt;0,OR(AP44=""))," * No olvide digitar la variable Pueblos Originarios Hombres. Digite Cero si no tiene.",IF(AP44&gt;D44," * La variable Pueblos Originarios Hombres no puede ser Mayor al Total Hombres.",""))</f>
        <v/>
      </c>
      <c r="CD44" s="142" t="str">
        <f t="shared" si="30"/>
        <v/>
      </c>
      <c r="CE44" s="142" t="str">
        <f t="shared" si="31"/>
        <v/>
      </c>
      <c r="CF44" s="142" t="str">
        <f t="shared" si="32"/>
        <v/>
      </c>
      <c r="CG44" s="35"/>
      <c r="CH44" s="35"/>
      <c r="CI44" s="142" t="str">
        <f t="shared" si="33"/>
        <v/>
      </c>
      <c r="CJ44" s="142" t="str">
        <f t="shared" si="10"/>
        <v/>
      </c>
      <c r="CK44" s="142" t="str">
        <f t="shared" si="34"/>
        <v/>
      </c>
      <c r="CL44" s="5"/>
      <c r="CM44" s="5"/>
      <c r="CN44" s="35"/>
      <c r="CO44" s="35"/>
      <c r="CP44" s="34">
        <f t="shared" si="43"/>
        <v>0</v>
      </c>
      <c r="CQ44" s="34">
        <f t="shared" si="44"/>
        <v>0</v>
      </c>
      <c r="CR44" s="34">
        <f t="shared" si="45"/>
        <v>0</v>
      </c>
      <c r="CS44" s="34">
        <f t="shared" si="46"/>
        <v>0</v>
      </c>
      <c r="CT44" s="35"/>
      <c r="CU44" s="35"/>
      <c r="CV44" s="34">
        <f t="shared" si="40"/>
        <v>0</v>
      </c>
      <c r="CW44" s="34">
        <f t="shared" si="38"/>
        <v>0</v>
      </c>
      <c r="CX44" s="34">
        <f t="shared" si="39"/>
        <v>0</v>
      </c>
      <c r="DK44" s="5"/>
      <c r="DL44" s="5"/>
      <c r="DM44" s="5"/>
      <c r="DN44" s="5"/>
      <c r="DO44" s="5"/>
      <c r="DP44" s="5"/>
      <c r="DQ44" s="5"/>
      <c r="DR44" s="5"/>
      <c r="DS44" s="5"/>
      <c r="DT44" s="5"/>
      <c r="DV44" s="346"/>
    </row>
    <row r="45" spans="1:126" s="800" customFormat="1" ht="15" customHeight="1">
      <c r="A45" s="2224"/>
      <c r="B45" s="1141" t="s">
        <v>365</v>
      </c>
      <c r="C45" s="965">
        <f t="shared" si="26"/>
        <v>0</v>
      </c>
      <c r="D45" s="740">
        <f t="shared" si="47"/>
        <v>0</v>
      </c>
      <c r="E45" s="1125">
        <f t="shared" si="47"/>
        <v>0</v>
      </c>
      <c r="F45" s="1166"/>
      <c r="G45" s="1167"/>
      <c r="H45" s="1166"/>
      <c r="I45" s="1167"/>
      <c r="J45" s="1166"/>
      <c r="K45" s="1167"/>
      <c r="L45" s="1166"/>
      <c r="M45" s="1167"/>
      <c r="N45" s="1166"/>
      <c r="O45" s="1167"/>
      <c r="P45" s="1166"/>
      <c r="Q45" s="1167"/>
      <c r="R45" s="751"/>
      <c r="S45" s="752"/>
      <c r="T45" s="751"/>
      <c r="U45" s="752"/>
      <c r="V45" s="751"/>
      <c r="W45" s="752"/>
      <c r="X45" s="751"/>
      <c r="Y45" s="752"/>
      <c r="Z45" s="751"/>
      <c r="AA45" s="752"/>
      <c r="AB45" s="751"/>
      <c r="AC45" s="752"/>
      <c r="AD45" s="751"/>
      <c r="AE45" s="752"/>
      <c r="AF45" s="751"/>
      <c r="AG45" s="752"/>
      <c r="AH45" s="751"/>
      <c r="AI45" s="752"/>
      <c r="AJ45" s="751"/>
      <c r="AK45" s="752"/>
      <c r="AL45" s="751"/>
      <c r="AM45" s="753"/>
      <c r="AN45" s="1168"/>
      <c r="AO45" s="1169"/>
      <c r="AP45" s="709"/>
      <c r="AQ45" s="900"/>
      <c r="AR45" s="1170"/>
      <c r="AS45" s="710"/>
      <c r="AT45" s="711"/>
      <c r="AU45" s="711"/>
      <c r="AV45" s="751"/>
      <c r="AW45" s="751"/>
      <c r="AX45" s="1129"/>
      <c r="AY45" s="1121" t="str">
        <f t="shared" si="2"/>
        <v/>
      </c>
      <c r="AZ45" s="1140"/>
      <c r="BA45" s="1140"/>
      <c r="CA45" s="35"/>
      <c r="CB45" s="35"/>
      <c r="CC45" s="142" t="str">
        <f t="shared" si="29"/>
        <v/>
      </c>
      <c r="CD45" s="142" t="str">
        <f t="shared" si="30"/>
        <v/>
      </c>
      <c r="CE45" s="142" t="str">
        <f t="shared" si="31"/>
        <v/>
      </c>
      <c r="CF45" s="142" t="str">
        <f t="shared" si="32"/>
        <v/>
      </c>
      <c r="CG45" s="35"/>
      <c r="CH45" s="35"/>
      <c r="CI45" s="142" t="str">
        <f t="shared" si="33"/>
        <v/>
      </c>
      <c r="CJ45" s="142" t="str">
        <f t="shared" si="10"/>
        <v/>
      </c>
      <c r="CK45" s="142" t="str">
        <f t="shared" si="34"/>
        <v/>
      </c>
      <c r="CL45" s="5"/>
      <c r="CM45" s="5"/>
      <c r="CN45" s="35"/>
      <c r="CO45" s="35"/>
      <c r="CP45" s="34">
        <f t="shared" si="43"/>
        <v>0</v>
      </c>
      <c r="CQ45" s="34">
        <f t="shared" si="44"/>
        <v>0</v>
      </c>
      <c r="CR45" s="34">
        <f t="shared" si="45"/>
        <v>0</v>
      </c>
      <c r="CS45" s="34">
        <f t="shared" si="46"/>
        <v>0</v>
      </c>
      <c r="CT45" s="35"/>
      <c r="CU45" s="35"/>
      <c r="CV45" s="34">
        <f t="shared" si="40"/>
        <v>0</v>
      </c>
      <c r="CW45" s="34">
        <f t="shared" si="38"/>
        <v>0</v>
      </c>
      <c r="CX45" s="34">
        <f t="shared" si="39"/>
        <v>0</v>
      </c>
      <c r="DK45" s="5"/>
      <c r="DL45" s="5"/>
      <c r="DM45" s="5"/>
      <c r="DN45" s="5"/>
      <c r="DO45" s="5"/>
      <c r="DP45" s="5"/>
      <c r="DQ45" s="5"/>
      <c r="DR45" s="5"/>
      <c r="DS45" s="5"/>
      <c r="DT45" s="5"/>
      <c r="DV45" s="346"/>
    </row>
    <row r="46" spans="1:126" s="800" customFormat="1" ht="15" customHeight="1">
      <c r="A46" s="2225"/>
      <c r="B46" s="1627" t="s">
        <v>620</v>
      </c>
      <c r="C46" s="1259">
        <f t="shared" si="26"/>
        <v>0</v>
      </c>
      <c r="D46" s="777">
        <f t="shared" si="47"/>
        <v>0</v>
      </c>
      <c r="E46" s="1134">
        <f t="shared" si="47"/>
        <v>0</v>
      </c>
      <c r="F46" s="1171"/>
      <c r="G46" s="1172"/>
      <c r="H46" s="1171"/>
      <c r="I46" s="1172"/>
      <c r="J46" s="1171"/>
      <c r="K46" s="1172"/>
      <c r="L46" s="1171"/>
      <c r="M46" s="1172"/>
      <c r="N46" s="1171"/>
      <c r="O46" s="1172"/>
      <c r="P46" s="1171"/>
      <c r="Q46" s="1172"/>
      <c r="R46" s="748"/>
      <c r="S46" s="749"/>
      <c r="T46" s="748"/>
      <c r="U46" s="749"/>
      <c r="V46" s="748"/>
      <c r="W46" s="749"/>
      <c r="X46" s="748"/>
      <c r="Y46" s="749"/>
      <c r="Z46" s="748"/>
      <c r="AA46" s="749"/>
      <c r="AB46" s="748"/>
      <c r="AC46" s="749"/>
      <c r="AD46" s="748"/>
      <c r="AE46" s="749"/>
      <c r="AF46" s="748"/>
      <c r="AG46" s="749"/>
      <c r="AH46" s="748"/>
      <c r="AI46" s="749"/>
      <c r="AJ46" s="748"/>
      <c r="AK46" s="749"/>
      <c r="AL46" s="748"/>
      <c r="AM46" s="750"/>
      <c r="AN46" s="1173"/>
      <c r="AO46" s="1174"/>
      <c r="AP46" s="722"/>
      <c r="AQ46" s="850"/>
      <c r="AR46" s="1175"/>
      <c r="AS46" s="723"/>
      <c r="AT46" s="746"/>
      <c r="AU46" s="746"/>
      <c r="AV46" s="748"/>
      <c r="AW46" s="748"/>
      <c r="AX46" s="1136"/>
      <c r="AY46" s="1121" t="str">
        <f t="shared" si="2"/>
        <v/>
      </c>
      <c r="AZ46" s="1140"/>
      <c r="BA46" s="1140"/>
      <c r="CA46" s="35"/>
      <c r="CB46" s="35"/>
      <c r="CC46" s="142" t="str">
        <f t="shared" si="29"/>
        <v/>
      </c>
      <c r="CD46" s="142" t="str">
        <f t="shared" si="30"/>
        <v/>
      </c>
      <c r="CE46" s="142" t="str">
        <f t="shared" si="31"/>
        <v/>
      </c>
      <c r="CF46" s="142" t="str">
        <f t="shared" si="32"/>
        <v/>
      </c>
      <c r="CG46" s="35"/>
      <c r="CH46" s="35"/>
      <c r="CI46" s="142" t="str">
        <f t="shared" si="33"/>
        <v/>
      </c>
      <c r="CJ46" s="142" t="str">
        <f t="shared" si="10"/>
        <v/>
      </c>
      <c r="CK46" s="142" t="str">
        <f t="shared" si="34"/>
        <v/>
      </c>
      <c r="CL46" s="5"/>
      <c r="CM46" s="5"/>
      <c r="CN46" s="35"/>
      <c r="CO46" s="35"/>
      <c r="CP46" s="34">
        <f t="shared" si="43"/>
        <v>0</v>
      </c>
      <c r="CQ46" s="34">
        <f t="shared" si="44"/>
        <v>0</v>
      </c>
      <c r="CR46" s="34">
        <f t="shared" si="45"/>
        <v>0</v>
      </c>
      <c r="CS46" s="34">
        <f t="shared" si="46"/>
        <v>0</v>
      </c>
      <c r="CT46" s="35"/>
      <c r="CU46" s="35"/>
      <c r="CV46" s="34">
        <f t="shared" si="40"/>
        <v>0</v>
      </c>
      <c r="CW46" s="34">
        <f t="shared" si="38"/>
        <v>0</v>
      </c>
      <c r="CX46" s="34">
        <f t="shared" si="39"/>
        <v>0</v>
      </c>
      <c r="DK46" s="5"/>
      <c r="DL46" s="5"/>
      <c r="DM46" s="5"/>
      <c r="DN46" s="5"/>
      <c r="DO46" s="5"/>
      <c r="DP46" s="5"/>
      <c r="DQ46" s="5"/>
      <c r="DR46" s="5"/>
      <c r="DS46" s="5"/>
      <c r="DT46" s="5"/>
      <c r="DV46" s="346"/>
    </row>
    <row r="47" spans="1:126" s="800" customFormat="1" ht="15" customHeight="1">
      <c r="A47" s="2228" t="s">
        <v>621</v>
      </c>
      <c r="B47" s="2229"/>
      <c r="C47" s="965">
        <f t="shared" si="26"/>
        <v>0</v>
      </c>
      <c r="D47" s="740">
        <f t="shared" si="47"/>
        <v>0</v>
      </c>
      <c r="E47" s="1125">
        <f t="shared" si="47"/>
        <v>0</v>
      </c>
      <c r="F47" s="751"/>
      <c r="G47" s="752"/>
      <c r="H47" s="751"/>
      <c r="I47" s="752"/>
      <c r="J47" s="751"/>
      <c r="K47" s="752"/>
      <c r="L47" s="751"/>
      <c r="M47" s="752"/>
      <c r="N47" s="751"/>
      <c r="O47" s="752"/>
      <c r="P47" s="751"/>
      <c r="Q47" s="752"/>
      <c r="R47" s="751"/>
      <c r="S47" s="752"/>
      <c r="T47" s="751"/>
      <c r="U47" s="752"/>
      <c r="V47" s="751"/>
      <c r="W47" s="752"/>
      <c r="X47" s="751"/>
      <c r="Y47" s="752"/>
      <c r="Z47" s="751"/>
      <c r="AA47" s="752"/>
      <c r="AB47" s="751"/>
      <c r="AC47" s="752"/>
      <c r="AD47" s="751"/>
      <c r="AE47" s="752"/>
      <c r="AF47" s="751"/>
      <c r="AG47" s="752"/>
      <c r="AH47" s="751"/>
      <c r="AI47" s="752"/>
      <c r="AJ47" s="751"/>
      <c r="AK47" s="752"/>
      <c r="AL47" s="751"/>
      <c r="AM47" s="753"/>
      <c r="AN47" s="1128"/>
      <c r="AO47" s="1129"/>
      <c r="AP47" s="789"/>
      <c r="AQ47" s="752"/>
      <c r="AR47" s="789"/>
      <c r="AS47" s="752"/>
      <c r="AT47" s="788"/>
      <c r="AU47" s="788"/>
      <c r="AV47" s="788"/>
      <c r="AW47" s="788"/>
      <c r="AX47" s="788"/>
      <c r="AY47" s="1121" t="str">
        <f t="shared" si="2"/>
        <v/>
      </c>
      <c r="AZ47" s="1140"/>
      <c r="BA47" s="1140"/>
      <c r="CA47" s="142" t="str">
        <f t="shared" ref="CA47:CA58" si="48">IF(AND(E47&gt;0,OR(AN47=""))," * No olvide digitar la variable Gestantes. Digite Cero si no tiene.",IF(AN47&gt;E47," * La variable Gestante no puede ser Mayor al Total Mujeres.",""))</f>
        <v/>
      </c>
      <c r="CB47" s="142" t="str">
        <f t="shared" ref="CB47:CB58" si="49">IF(AND(C47&gt;0,OR(AO47=""))," * No olvide digitar la variable Madre de hijo menor de 5 años. Digite Cero si no tiene.",IF(AO47&gt;C47," * La variable Madre de hijo menor de 5 años no puede ser Mayor al Total Mujeres.",""))</f>
        <v/>
      </c>
      <c r="CC47" s="142" t="str">
        <f t="shared" si="29"/>
        <v/>
      </c>
      <c r="CD47" s="142" t="str">
        <f t="shared" si="30"/>
        <v/>
      </c>
      <c r="CE47" s="142" t="str">
        <f t="shared" si="31"/>
        <v/>
      </c>
      <c r="CF47" s="142" t="str">
        <f t="shared" si="32"/>
        <v/>
      </c>
      <c r="CG47" s="142" t="str">
        <f t="shared" ref="CG47:CG58" si="50">IF(AND($C47&gt;0,OR(AT47=""))," * No olvide digitar la variable Niños, Niñas, Adolescentes y Jóvenes SENAME. Digite Cero si no tiene.",IF(AT47&gt;$C47," * La variable Niños, Niñas, Adolescentes y Jóvenes SENAME no puede ser Mayor al Total ambos sexos.",""))</f>
        <v/>
      </c>
      <c r="CH47" s="142" t="str">
        <f t="shared" ref="CH47:CH58" si="51">IF(AND($C47&gt;0,OR(AU47=""))," * No olvide digitar la variable Niños y niñas Mejor Niñez. Digite Cero si no tiene.",IF(AU47&gt;$C47," * La variable Niños y niñas Mejor Niñez no puede ser Mayor al Total ambos sexos.",""))</f>
        <v/>
      </c>
      <c r="CI47" s="142" t="str">
        <f t="shared" si="33"/>
        <v/>
      </c>
      <c r="CJ47" s="142" t="str">
        <f t="shared" si="10"/>
        <v/>
      </c>
      <c r="CK47" s="142" t="str">
        <f t="shared" si="34"/>
        <v/>
      </c>
      <c r="CL47" s="5"/>
      <c r="CM47" s="5"/>
      <c r="CN47" s="34">
        <f t="shared" ref="CN47:CO58" si="52">IF(AND($E47&gt;0,OR(AN47="")),1,IF(AN47&gt;$E47,1,0))</f>
        <v>0</v>
      </c>
      <c r="CO47" s="34">
        <f t="shared" si="52"/>
        <v>0</v>
      </c>
      <c r="CP47" s="34">
        <f t="shared" si="43"/>
        <v>0</v>
      </c>
      <c r="CQ47" s="34">
        <f t="shared" si="44"/>
        <v>0</v>
      </c>
      <c r="CR47" s="34">
        <f t="shared" si="45"/>
        <v>0</v>
      </c>
      <c r="CS47" s="34">
        <f t="shared" si="46"/>
        <v>0</v>
      </c>
      <c r="CT47" s="34">
        <f t="shared" si="40"/>
        <v>0</v>
      </c>
      <c r="CU47" s="34">
        <f t="shared" si="40"/>
        <v>0</v>
      </c>
      <c r="CV47" s="34">
        <f t="shared" si="40"/>
        <v>0</v>
      </c>
      <c r="CW47" s="34">
        <f t="shared" si="38"/>
        <v>0</v>
      </c>
      <c r="CX47" s="34">
        <f t="shared" si="39"/>
        <v>0</v>
      </c>
      <c r="DK47" s="5"/>
      <c r="DL47" s="5"/>
      <c r="DM47" s="5"/>
      <c r="DN47" s="5"/>
      <c r="DO47" s="5"/>
      <c r="DP47" s="5"/>
      <c r="DQ47" s="5"/>
      <c r="DR47" s="5"/>
      <c r="DS47" s="5"/>
      <c r="DT47" s="5"/>
      <c r="DV47" s="346"/>
    </row>
    <row r="48" spans="1:126" s="800" customFormat="1" ht="15" customHeight="1">
      <c r="A48" s="1628" t="s">
        <v>622</v>
      </c>
      <c r="B48" s="1629"/>
      <c r="C48" s="965">
        <f t="shared" si="26"/>
        <v>0</v>
      </c>
      <c r="D48" s="740">
        <f t="shared" si="47"/>
        <v>0</v>
      </c>
      <c r="E48" s="1125">
        <f t="shared" si="47"/>
        <v>0</v>
      </c>
      <c r="F48" s="751"/>
      <c r="G48" s="752"/>
      <c r="H48" s="751"/>
      <c r="I48" s="752"/>
      <c r="J48" s="751"/>
      <c r="K48" s="752"/>
      <c r="L48" s="751"/>
      <c r="M48" s="752"/>
      <c r="N48" s="751"/>
      <c r="O48" s="752"/>
      <c r="P48" s="751"/>
      <c r="Q48" s="752"/>
      <c r="R48" s="751"/>
      <c r="S48" s="752"/>
      <c r="T48" s="751"/>
      <c r="U48" s="752"/>
      <c r="V48" s="751"/>
      <c r="W48" s="752"/>
      <c r="X48" s="751"/>
      <c r="Y48" s="752"/>
      <c r="Z48" s="751"/>
      <c r="AA48" s="752"/>
      <c r="AB48" s="751"/>
      <c r="AC48" s="752"/>
      <c r="AD48" s="751"/>
      <c r="AE48" s="752"/>
      <c r="AF48" s="751"/>
      <c r="AG48" s="752"/>
      <c r="AH48" s="751"/>
      <c r="AI48" s="752"/>
      <c r="AJ48" s="751"/>
      <c r="AK48" s="752"/>
      <c r="AL48" s="751"/>
      <c r="AM48" s="753"/>
      <c r="AN48" s="1128"/>
      <c r="AO48" s="1129"/>
      <c r="AP48" s="789"/>
      <c r="AQ48" s="752"/>
      <c r="AR48" s="789"/>
      <c r="AS48" s="752"/>
      <c r="AT48" s="788"/>
      <c r="AU48" s="788"/>
      <c r="AV48" s="788"/>
      <c r="AW48" s="788"/>
      <c r="AX48" s="788"/>
      <c r="AY48" s="1121" t="str">
        <f t="shared" si="2"/>
        <v/>
      </c>
      <c r="AZ48" s="1140"/>
      <c r="BA48" s="1140"/>
      <c r="CA48" s="142" t="str">
        <f t="shared" si="48"/>
        <v/>
      </c>
      <c r="CB48" s="142" t="str">
        <f t="shared" si="49"/>
        <v/>
      </c>
      <c r="CC48" s="142" t="str">
        <f t="shared" si="29"/>
        <v/>
      </c>
      <c r="CD48" s="142" t="str">
        <f t="shared" si="30"/>
        <v/>
      </c>
      <c r="CE48" s="142" t="str">
        <f t="shared" si="31"/>
        <v/>
      </c>
      <c r="CF48" s="142" t="str">
        <f t="shared" si="32"/>
        <v/>
      </c>
      <c r="CG48" s="142" t="str">
        <f t="shared" si="50"/>
        <v/>
      </c>
      <c r="CH48" s="142" t="str">
        <f t="shared" si="51"/>
        <v/>
      </c>
      <c r="CI48" s="142" t="str">
        <f t="shared" si="33"/>
        <v/>
      </c>
      <c r="CJ48" s="142" t="str">
        <f t="shared" si="10"/>
        <v/>
      </c>
      <c r="CK48" s="142" t="str">
        <f t="shared" si="34"/>
        <v/>
      </c>
      <c r="CL48" s="5"/>
      <c r="CM48" s="5"/>
      <c r="CN48" s="34">
        <f t="shared" si="52"/>
        <v>0</v>
      </c>
      <c r="CO48" s="34">
        <f t="shared" si="52"/>
        <v>0</v>
      </c>
      <c r="CP48" s="34">
        <f t="shared" si="43"/>
        <v>0</v>
      </c>
      <c r="CQ48" s="34">
        <f t="shared" si="44"/>
        <v>0</v>
      </c>
      <c r="CR48" s="34">
        <f t="shared" si="45"/>
        <v>0</v>
      </c>
      <c r="CS48" s="34">
        <f t="shared" si="46"/>
        <v>0</v>
      </c>
      <c r="CT48" s="34">
        <f t="shared" si="40"/>
        <v>0</v>
      </c>
      <c r="CU48" s="34">
        <f t="shared" si="40"/>
        <v>0</v>
      </c>
      <c r="CV48" s="34">
        <f t="shared" si="40"/>
        <v>0</v>
      </c>
      <c r="CW48" s="34">
        <f t="shared" si="38"/>
        <v>0</v>
      </c>
      <c r="CX48" s="34">
        <f t="shared" si="39"/>
        <v>0</v>
      </c>
      <c r="DK48" s="5"/>
      <c r="DL48" s="5"/>
      <c r="DM48" s="5"/>
      <c r="DN48" s="5"/>
      <c r="DO48" s="5"/>
      <c r="DP48" s="5"/>
      <c r="DQ48" s="5"/>
      <c r="DR48" s="5"/>
      <c r="DS48" s="5"/>
      <c r="DT48" s="5"/>
      <c r="DV48" s="346"/>
    </row>
    <row r="49" spans="1:126" ht="15" customHeight="1">
      <c r="A49" s="2219" t="s">
        <v>623</v>
      </c>
      <c r="B49" s="2220"/>
      <c r="C49" s="1262">
        <f t="shared" si="26"/>
        <v>0</v>
      </c>
      <c r="D49" s="707">
        <f t="shared" si="47"/>
        <v>0</v>
      </c>
      <c r="E49" s="1144">
        <f t="shared" si="47"/>
        <v>0</v>
      </c>
      <c r="F49" s="709"/>
      <c r="G49" s="710"/>
      <c r="H49" s="709"/>
      <c r="I49" s="710"/>
      <c r="J49" s="709"/>
      <c r="K49" s="710"/>
      <c r="L49" s="709"/>
      <c r="M49" s="710"/>
      <c r="N49" s="709"/>
      <c r="O49" s="710"/>
      <c r="P49" s="709"/>
      <c r="Q49" s="710"/>
      <c r="R49" s="709"/>
      <c r="S49" s="710"/>
      <c r="T49" s="709"/>
      <c r="U49" s="710"/>
      <c r="V49" s="709"/>
      <c r="W49" s="710"/>
      <c r="X49" s="709"/>
      <c r="Y49" s="710"/>
      <c r="Z49" s="709"/>
      <c r="AA49" s="710"/>
      <c r="AB49" s="709"/>
      <c r="AC49" s="710"/>
      <c r="AD49" s="709"/>
      <c r="AE49" s="710"/>
      <c r="AF49" s="709"/>
      <c r="AG49" s="710"/>
      <c r="AH49" s="709"/>
      <c r="AI49" s="710"/>
      <c r="AJ49" s="709"/>
      <c r="AK49" s="710"/>
      <c r="AL49" s="709"/>
      <c r="AM49" s="731"/>
      <c r="AN49" s="1142"/>
      <c r="AO49" s="1143"/>
      <c r="AP49" s="928"/>
      <c r="AQ49" s="710"/>
      <c r="AR49" s="928"/>
      <c r="AS49" s="710"/>
      <c r="AT49" s="900"/>
      <c r="AU49" s="900"/>
      <c r="AV49" s="900"/>
      <c r="AW49" s="900"/>
      <c r="AX49" s="900"/>
      <c r="AY49" s="1121" t="str">
        <f t="shared" si="2"/>
        <v/>
      </c>
      <c r="CA49" s="142" t="str">
        <f t="shared" si="48"/>
        <v/>
      </c>
      <c r="CB49" s="142" t="str">
        <f t="shared" si="49"/>
        <v/>
      </c>
      <c r="CC49" s="142" t="str">
        <f t="shared" si="29"/>
        <v/>
      </c>
      <c r="CD49" s="142" t="str">
        <f t="shared" si="30"/>
        <v/>
      </c>
      <c r="CE49" s="142" t="str">
        <f t="shared" si="31"/>
        <v/>
      </c>
      <c r="CF49" s="142" t="str">
        <f t="shared" si="32"/>
        <v/>
      </c>
      <c r="CG49" s="142" t="str">
        <f t="shared" si="50"/>
        <v/>
      </c>
      <c r="CH49" s="142" t="str">
        <f t="shared" si="51"/>
        <v/>
      </c>
      <c r="CI49" s="142" t="str">
        <f t="shared" si="33"/>
        <v/>
      </c>
      <c r="CJ49" s="142" t="str">
        <f t="shared" si="10"/>
        <v/>
      </c>
      <c r="CK49" s="142" t="str">
        <f t="shared" si="34"/>
        <v/>
      </c>
      <c r="CN49" s="34">
        <f t="shared" si="52"/>
        <v>0</v>
      </c>
      <c r="CO49" s="34">
        <f t="shared" si="52"/>
        <v>0</v>
      </c>
      <c r="CP49" s="34">
        <f t="shared" si="43"/>
        <v>0</v>
      </c>
      <c r="CQ49" s="34">
        <f t="shared" si="44"/>
        <v>0</v>
      </c>
      <c r="CR49" s="34">
        <f t="shared" si="45"/>
        <v>0</v>
      </c>
      <c r="CS49" s="34">
        <f t="shared" si="46"/>
        <v>0</v>
      </c>
      <c r="CT49" s="34">
        <f t="shared" si="40"/>
        <v>0</v>
      </c>
      <c r="CU49" s="34">
        <f t="shared" si="40"/>
        <v>0</v>
      </c>
      <c r="CV49" s="34">
        <f t="shared" si="40"/>
        <v>0</v>
      </c>
      <c r="CW49" s="34">
        <f t="shared" si="38"/>
        <v>0</v>
      </c>
      <c r="CX49" s="34">
        <f t="shared" si="39"/>
        <v>0</v>
      </c>
      <c r="DM49" s="5"/>
      <c r="DN49" s="5"/>
      <c r="DO49" s="5"/>
      <c r="DV49" s="346"/>
    </row>
    <row r="50" spans="1:126" ht="15" customHeight="1">
      <c r="A50" s="2219" t="s">
        <v>624</v>
      </c>
      <c r="B50" s="2220"/>
      <c r="C50" s="1262">
        <f t="shared" si="26"/>
        <v>0</v>
      </c>
      <c r="D50" s="707">
        <f t="shared" si="47"/>
        <v>0</v>
      </c>
      <c r="E50" s="1144">
        <f t="shared" si="47"/>
        <v>0</v>
      </c>
      <c r="F50" s="709"/>
      <c r="G50" s="710"/>
      <c r="H50" s="709"/>
      <c r="I50" s="710"/>
      <c r="J50" s="709"/>
      <c r="K50" s="710"/>
      <c r="L50" s="709"/>
      <c r="M50" s="710"/>
      <c r="N50" s="709"/>
      <c r="O50" s="710"/>
      <c r="P50" s="709"/>
      <c r="Q50" s="710"/>
      <c r="R50" s="709"/>
      <c r="S50" s="710"/>
      <c r="T50" s="709"/>
      <c r="U50" s="710"/>
      <c r="V50" s="709"/>
      <c r="W50" s="710"/>
      <c r="X50" s="709"/>
      <c r="Y50" s="710"/>
      <c r="Z50" s="709"/>
      <c r="AA50" s="710"/>
      <c r="AB50" s="709"/>
      <c r="AC50" s="710"/>
      <c r="AD50" s="709"/>
      <c r="AE50" s="710"/>
      <c r="AF50" s="709"/>
      <c r="AG50" s="710"/>
      <c r="AH50" s="709"/>
      <c r="AI50" s="710"/>
      <c r="AJ50" s="709"/>
      <c r="AK50" s="710"/>
      <c r="AL50" s="709"/>
      <c r="AM50" s="731"/>
      <c r="AN50" s="1142"/>
      <c r="AO50" s="1143"/>
      <c r="AP50" s="928"/>
      <c r="AQ50" s="710"/>
      <c r="AR50" s="928"/>
      <c r="AS50" s="710"/>
      <c r="AT50" s="900"/>
      <c r="AU50" s="900"/>
      <c r="AV50" s="900"/>
      <c r="AW50" s="900"/>
      <c r="AX50" s="900"/>
      <c r="AY50" s="1121" t="str">
        <f t="shared" si="2"/>
        <v/>
      </c>
      <c r="CA50" s="142" t="str">
        <f t="shared" si="48"/>
        <v/>
      </c>
      <c r="CB50" s="142" t="str">
        <f t="shared" si="49"/>
        <v/>
      </c>
      <c r="CC50" s="142" t="str">
        <f t="shared" si="29"/>
        <v/>
      </c>
      <c r="CD50" s="142" t="str">
        <f t="shared" si="30"/>
        <v/>
      </c>
      <c r="CE50" s="142" t="str">
        <f t="shared" si="31"/>
        <v/>
      </c>
      <c r="CF50" s="142" t="str">
        <f t="shared" si="32"/>
        <v/>
      </c>
      <c r="CG50" s="142" t="str">
        <f t="shared" si="50"/>
        <v/>
      </c>
      <c r="CH50" s="142" t="str">
        <f t="shared" si="51"/>
        <v/>
      </c>
      <c r="CI50" s="142" t="str">
        <f t="shared" si="33"/>
        <v/>
      </c>
      <c r="CJ50" s="142" t="str">
        <f t="shared" si="10"/>
        <v/>
      </c>
      <c r="CK50" s="142" t="str">
        <f t="shared" si="34"/>
        <v/>
      </c>
      <c r="CN50" s="34">
        <f t="shared" si="52"/>
        <v>0</v>
      </c>
      <c r="CO50" s="34">
        <f t="shared" si="52"/>
        <v>0</v>
      </c>
      <c r="CP50" s="34">
        <f t="shared" si="43"/>
        <v>0</v>
      </c>
      <c r="CQ50" s="34">
        <f t="shared" si="44"/>
        <v>0</v>
      </c>
      <c r="CR50" s="34">
        <f t="shared" si="45"/>
        <v>0</v>
      </c>
      <c r="CS50" s="34">
        <f t="shared" si="46"/>
        <v>0</v>
      </c>
      <c r="CT50" s="34">
        <f t="shared" si="40"/>
        <v>0</v>
      </c>
      <c r="CU50" s="34">
        <f t="shared" si="40"/>
        <v>0</v>
      </c>
      <c r="CV50" s="34">
        <f t="shared" si="40"/>
        <v>0</v>
      </c>
      <c r="CW50" s="34">
        <f t="shared" si="38"/>
        <v>0</v>
      </c>
      <c r="CX50" s="34">
        <f t="shared" si="39"/>
        <v>0</v>
      </c>
      <c r="DM50" s="5"/>
      <c r="DN50" s="5"/>
      <c r="DO50" s="5"/>
      <c r="DV50" s="346"/>
    </row>
    <row r="51" spans="1:126" ht="15" customHeight="1">
      <c r="A51" s="2221" t="s">
        <v>625</v>
      </c>
      <c r="B51" s="2222"/>
      <c r="C51" s="962">
        <f t="shared" si="26"/>
        <v>0</v>
      </c>
      <c r="D51" s="733">
        <f t="shared" si="47"/>
        <v>0</v>
      </c>
      <c r="E51" s="1131">
        <f t="shared" si="47"/>
        <v>0</v>
      </c>
      <c r="F51" s="722"/>
      <c r="G51" s="723"/>
      <c r="H51" s="722"/>
      <c r="I51" s="723"/>
      <c r="J51" s="722"/>
      <c r="K51" s="723"/>
      <c r="L51" s="722"/>
      <c r="M51" s="723"/>
      <c r="N51" s="722"/>
      <c r="O51" s="723"/>
      <c r="P51" s="722"/>
      <c r="Q51" s="723"/>
      <c r="R51" s="722"/>
      <c r="S51" s="723"/>
      <c r="T51" s="722"/>
      <c r="U51" s="723"/>
      <c r="V51" s="722"/>
      <c r="W51" s="723"/>
      <c r="X51" s="722"/>
      <c r="Y51" s="723"/>
      <c r="Z51" s="722"/>
      <c r="AA51" s="723"/>
      <c r="AB51" s="722"/>
      <c r="AC51" s="723"/>
      <c r="AD51" s="722"/>
      <c r="AE51" s="723"/>
      <c r="AF51" s="722"/>
      <c r="AG51" s="723"/>
      <c r="AH51" s="722"/>
      <c r="AI51" s="723"/>
      <c r="AJ51" s="722"/>
      <c r="AK51" s="723"/>
      <c r="AL51" s="722"/>
      <c r="AM51" s="762"/>
      <c r="AN51" s="1132"/>
      <c r="AO51" s="1133"/>
      <c r="AP51" s="852"/>
      <c r="AQ51" s="723"/>
      <c r="AR51" s="852"/>
      <c r="AS51" s="723"/>
      <c r="AT51" s="850"/>
      <c r="AU51" s="850"/>
      <c r="AV51" s="850"/>
      <c r="AW51" s="850"/>
      <c r="AX51" s="850"/>
      <c r="AY51" s="1121" t="str">
        <f t="shared" si="2"/>
        <v/>
      </c>
      <c r="CA51" s="142" t="str">
        <f t="shared" si="48"/>
        <v/>
      </c>
      <c r="CB51" s="142" t="str">
        <f t="shared" si="49"/>
        <v/>
      </c>
      <c r="CC51" s="142" t="str">
        <f t="shared" si="29"/>
        <v/>
      </c>
      <c r="CD51" s="142" t="str">
        <f t="shared" si="30"/>
        <v/>
      </c>
      <c r="CE51" s="142" t="str">
        <f t="shared" si="31"/>
        <v/>
      </c>
      <c r="CF51" s="142" t="str">
        <f t="shared" si="32"/>
        <v/>
      </c>
      <c r="CG51" s="142" t="str">
        <f t="shared" si="50"/>
        <v/>
      </c>
      <c r="CH51" s="142" t="str">
        <f t="shared" si="51"/>
        <v/>
      </c>
      <c r="CI51" s="142" t="str">
        <f t="shared" si="33"/>
        <v/>
      </c>
      <c r="CJ51" s="142" t="str">
        <f t="shared" si="10"/>
        <v/>
      </c>
      <c r="CK51" s="142" t="str">
        <f t="shared" si="34"/>
        <v/>
      </c>
      <c r="CN51" s="34">
        <f t="shared" si="52"/>
        <v>0</v>
      </c>
      <c r="CO51" s="34">
        <f t="shared" si="52"/>
        <v>0</v>
      </c>
      <c r="CP51" s="34">
        <f t="shared" si="43"/>
        <v>0</v>
      </c>
      <c r="CQ51" s="34">
        <f t="shared" si="44"/>
        <v>0</v>
      </c>
      <c r="CR51" s="34">
        <f t="shared" si="45"/>
        <v>0</v>
      </c>
      <c r="CS51" s="34">
        <f t="shared" si="46"/>
        <v>0</v>
      </c>
      <c r="CT51" s="34">
        <f t="shared" ref="CT51:CV58" si="53">IF(AND($C51&gt;0,OR(AT51="")),1,IF(AT51&gt;$C51,1,0))</f>
        <v>0</v>
      </c>
      <c r="CU51" s="34">
        <f t="shared" si="53"/>
        <v>0</v>
      </c>
      <c r="CV51" s="34">
        <f t="shared" si="53"/>
        <v>0</v>
      </c>
      <c r="CW51" s="34">
        <f t="shared" si="38"/>
        <v>0</v>
      </c>
      <c r="CX51" s="34">
        <f t="shared" si="39"/>
        <v>0</v>
      </c>
      <c r="DM51" s="5"/>
      <c r="DN51" s="5"/>
      <c r="DO51" s="5"/>
      <c r="DV51" s="346"/>
    </row>
    <row r="52" spans="1:126" ht="15" customHeight="1">
      <c r="A52" s="2223" t="s">
        <v>626</v>
      </c>
      <c r="B52" s="1124" t="s">
        <v>374</v>
      </c>
      <c r="C52" s="962">
        <f t="shared" si="26"/>
        <v>0</v>
      </c>
      <c r="D52" s="845">
        <f>+F52+H52+J52+L52+N52+P52+R52+T52+V52+X52+Z52+AB52+AD52+AF52+AH52+AJ52+AL52</f>
        <v>0</v>
      </c>
      <c r="E52" s="1176">
        <f>+G52+I52+K52+M52+O52+Q52+S52+U52+W52+Y52+AA52+AC52+AE52+AG52+AI52+AK52+AM52</f>
        <v>0</v>
      </c>
      <c r="F52" s="908"/>
      <c r="G52" s="909"/>
      <c r="H52" s="908"/>
      <c r="I52" s="909"/>
      <c r="J52" s="908"/>
      <c r="K52" s="909"/>
      <c r="L52" s="908"/>
      <c r="M52" s="909"/>
      <c r="N52" s="908"/>
      <c r="O52" s="909"/>
      <c r="P52" s="908"/>
      <c r="Q52" s="909"/>
      <c r="R52" s="908"/>
      <c r="S52" s="909"/>
      <c r="T52" s="908"/>
      <c r="U52" s="909"/>
      <c r="V52" s="908"/>
      <c r="W52" s="909"/>
      <c r="X52" s="908"/>
      <c r="Y52" s="909"/>
      <c r="Z52" s="908"/>
      <c r="AA52" s="909"/>
      <c r="AB52" s="908"/>
      <c r="AC52" s="909"/>
      <c r="AD52" s="908"/>
      <c r="AE52" s="909"/>
      <c r="AF52" s="908"/>
      <c r="AG52" s="909"/>
      <c r="AH52" s="908"/>
      <c r="AI52" s="909"/>
      <c r="AJ52" s="908"/>
      <c r="AK52" s="909"/>
      <c r="AL52" s="908"/>
      <c r="AM52" s="910"/>
      <c r="AN52" s="1128"/>
      <c r="AO52" s="1129"/>
      <c r="AP52" s="789"/>
      <c r="AQ52" s="752"/>
      <c r="AR52" s="936"/>
      <c r="AS52" s="909"/>
      <c r="AT52" s="912"/>
      <c r="AU52" s="912"/>
      <c r="AV52" s="912"/>
      <c r="AW52" s="912"/>
      <c r="AX52" s="912"/>
      <c r="AY52" s="1121" t="str">
        <f t="shared" si="2"/>
        <v/>
      </c>
      <c r="CA52" s="142" t="str">
        <f t="shared" si="48"/>
        <v/>
      </c>
      <c r="CB52" s="142" t="str">
        <f t="shared" si="49"/>
        <v/>
      </c>
      <c r="CC52" s="142" t="str">
        <f t="shared" si="29"/>
        <v/>
      </c>
      <c r="CD52" s="142" t="str">
        <f t="shared" si="30"/>
        <v/>
      </c>
      <c r="CE52" s="142" t="str">
        <f t="shared" si="31"/>
        <v/>
      </c>
      <c r="CF52" s="142" t="str">
        <f t="shared" si="32"/>
        <v/>
      </c>
      <c r="CG52" s="142" t="str">
        <f t="shared" si="50"/>
        <v/>
      </c>
      <c r="CH52" s="142" t="str">
        <f t="shared" si="51"/>
        <v/>
      </c>
      <c r="CI52" s="142" t="str">
        <f t="shared" si="33"/>
        <v/>
      </c>
      <c r="CJ52" s="142" t="str">
        <f t="shared" si="10"/>
        <v/>
      </c>
      <c r="CK52" s="142" t="str">
        <f t="shared" si="34"/>
        <v/>
      </c>
      <c r="CN52" s="34">
        <f t="shared" si="52"/>
        <v>0</v>
      </c>
      <c r="CO52" s="34">
        <f t="shared" si="52"/>
        <v>0</v>
      </c>
      <c r="CP52" s="34">
        <f t="shared" si="43"/>
        <v>0</v>
      </c>
      <c r="CQ52" s="34">
        <f t="shared" si="44"/>
        <v>0</v>
      </c>
      <c r="CR52" s="34">
        <f t="shared" si="45"/>
        <v>0</v>
      </c>
      <c r="CS52" s="34">
        <f t="shared" si="46"/>
        <v>0</v>
      </c>
      <c r="CT52" s="34">
        <f t="shared" si="53"/>
        <v>0</v>
      </c>
      <c r="CU52" s="34">
        <f t="shared" si="53"/>
        <v>0</v>
      </c>
      <c r="CV52" s="34">
        <f t="shared" si="53"/>
        <v>0</v>
      </c>
      <c r="CW52" s="34">
        <f t="shared" si="38"/>
        <v>0</v>
      </c>
      <c r="CX52" s="34">
        <f t="shared" si="39"/>
        <v>0</v>
      </c>
      <c r="DM52" s="5"/>
      <c r="DN52" s="5"/>
      <c r="DO52" s="5"/>
      <c r="DV52" s="346"/>
    </row>
    <row r="53" spans="1:126" ht="15" customHeight="1">
      <c r="A53" s="2224"/>
      <c r="B53" s="1141" t="s">
        <v>376</v>
      </c>
      <c r="C53" s="962">
        <f t="shared" si="26"/>
        <v>0</v>
      </c>
      <c r="D53" s="720">
        <f t="shared" ref="D53:E55" si="54">+F53+H53+J53+L53+N53+P53+R53+T53+V53+X53+Z53+AB53+AD53+AF53+AH53+AJ53+AL53</f>
        <v>0</v>
      </c>
      <c r="E53" s="1146">
        <f t="shared" si="54"/>
        <v>0</v>
      </c>
      <c r="F53" s="735"/>
      <c r="G53" s="729"/>
      <c r="H53" s="735"/>
      <c r="I53" s="729"/>
      <c r="J53" s="735"/>
      <c r="K53" s="729"/>
      <c r="L53" s="735"/>
      <c r="M53" s="729"/>
      <c r="N53" s="735"/>
      <c r="O53" s="729"/>
      <c r="P53" s="735"/>
      <c r="Q53" s="729"/>
      <c r="R53" s="735"/>
      <c r="S53" s="729"/>
      <c r="T53" s="735"/>
      <c r="U53" s="729"/>
      <c r="V53" s="735"/>
      <c r="W53" s="729"/>
      <c r="X53" s="735"/>
      <c r="Y53" s="729"/>
      <c r="Z53" s="735"/>
      <c r="AA53" s="729"/>
      <c r="AB53" s="735"/>
      <c r="AC53" s="729"/>
      <c r="AD53" s="735"/>
      <c r="AE53" s="729"/>
      <c r="AF53" s="735"/>
      <c r="AG53" s="729"/>
      <c r="AH53" s="735"/>
      <c r="AI53" s="729"/>
      <c r="AJ53" s="735"/>
      <c r="AK53" s="729"/>
      <c r="AL53" s="735"/>
      <c r="AM53" s="736"/>
      <c r="AN53" s="1142"/>
      <c r="AO53" s="1143"/>
      <c r="AP53" s="928"/>
      <c r="AQ53" s="710"/>
      <c r="AR53" s="942"/>
      <c r="AS53" s="729"/>
      <c r="AT53" s="1149"/>
      <c r="AU53" s="1149"/>
      <c r="AV53" s="1149"/>
      <c r="AW53" s="1149"/>
      <c r="AX53" s="1149"/>
      <c r="AY53" s="1121" t="str">
        <f t="shared" si="2"/>
        <v/>
      </c>
      <c r="CA53" s="142" t="str">
        <f t="shared" si="48"/>
        <v/>
      </c>
      <c r="CB53" s="142" t="str">
        <f t="shared" si="49"/>
        <v/>
      </c>
      <c r="CC53" s="142" t="str">
        <f t="shared" si="29"/>
        <v/>
      </c>
      <c r="CD53" s="142" t="str">
        <f t="shared" si="30"/>
        <v/>
      </c>
      <c r="CE53" s="142" t="str">
        <f t="shared" si="31"/>
        <v/>
      </c>
      <c r="CF53" s="142" t="str">
        <f t="shared" si="32"/>
        <v/>
      </c>
      <c r="CG53" s="142" t="str">
        <f t="shared" si="50"/>
        <v/>
      </c>
      <c r="CH53" s="142" t="str">
        <f t="shared" si="51"/>
        <v/>
      </c>
      <c r="CI53" s="142" t="str">
        <f t="shared" si="33"/>
        <v/>
      </c>
      <c r="CJ53" s="142" t="str">
        <f t="shared" si="10"/>
        <v/>
      </c>
      <c r="CK53" s="142" t="str">
        <f t="shared" si="34"/>
        <v/>
      </c>
      <c r="CN53" s="34">
        <f t="shared" si="52"/>
        <v>0</v>
      </c>
      <c r="CO53" s="34">
        <f t="shared" si="52"/>
        <v>0</v>
      </c>
      <c r="CP53" s="34">
        <f t="shared" si="43"/>
        <v>0</v>
      </c>
      <c r="CQ53" s="34">
        <f t="shared" si="44"/>
        <v>0</v>
      </c>
      <c r="CR53" s="34">
        <f t="shared" si="45"/>
        <v>0</v>
      </c>
      <c r="CS53" s="34">
        <f t="shared" si="46"/>
        <v>0</v>
      </c>
      <c r="CT53" s="34">
        <f t="shared" si="53"/>
        <v>0</v>
      </c>
      <c r="CU53" s="34">
        <f t="shared" si="53"/>
        <v>0</v>
      </c>
      <c r="CV53" s="34">
        <f t="shared" si="53"/>
        <v>0</v>
      </c>
      <c r="CW53" s="34">
        <f t="shared" si="38"/>
        <v>0</v>
      </c>
      <c r="CX53" s="34">
        <f t="shared" si="39"/>
        <v>0</v>
      </c>
      <c r="DM53" s="5"/>
      <c r="DN53" s="5"/>
      <c r="DO53" s="5"/>
      <c r="DV53" s="346"/>
    </row>
    <row r="54" spans="1:126" ht="15" customHeight="1">
      <c r="A54" s="2224"/>
      <c r="B54" s="1141" t="s">
        <v>627</v>
      </c>
      <c r="C54" s="962">
        <f t="shared" si="26"/>
        <v>0</v>
      </c>
      <c r="D54" s="720">
        <f t="shared" si="54"/>
        <v>0</v>
      </c>
      <c r="E54" s="1146">
        <f t="shared" si="54"/>
        <v>0</v>
      </c>
      <c r="F54" s="735"/>
      <c r="G54" s="729"/>
      <c r="H54" s="735"/>
      <c r="I54" s="729"/>
      <c r="J54" s="735"/>
      <c r="K54" s="729"/>
      <c r="L54" s="735"/>
      <c r="M54" s="729"/>
      <c r="N54" s="735"/>
      <c r="O54" s="729"/>
      <c r="P54" s="735"/>
      <c r="Q54" s="729"/>
      <c r="R54" s="735"/>
      <c r="S54" s="729"/>
      <c r="T54" s="735"/>
      <c r="U54" s="729"/>
      <c r="V54" s="735"/>
      <c r="W54" s="729"/>
      <c r="X54" s="735"/>
      <c r="Y54" s="729"/>
      <c r="Z54" s="735"/>
      <c r="AA54" s="729"/>
      <c r="AB54" s="735"/>
      <c r="AC54" s="729"/>
      <c r="AD54" s="735"/>
      <c r="AE54" s="729"/>
      <c r="AF54" s="735"/>
      <c r="AG54" s="729"/>
      <c r="AH54" s="735"/>
      <c r="AI54" s="729"/>
      <c r="AJ54" s="735"/>
      <c r="AK54" s="729"/>
      <c r="AL54" s="735"/>
      <c r="AM54" s="736"/>
      <c r="AN54" s="1142"/>
      <c r="AO54" s="1143"/>
      <c r="AP54" s="928"/>
      <c r="AQ54" s="710"/>
      <c r="AR54" s="942"/>
      <c r="AS54" s="729"/>
      <c r="AT54" s="1149"/>
      <c r="AU54" s="1149"/>
      <c r="AV54" s="1149"/>
      <c r="AW54" s="1149"/>
      <c r="AX54" s="1149"/>
      <c r="AY54" s="1121" t="str">
        <f t="shared" si="2"/>
        <v/>
      </c>
      <c r="CA54" s="142" t="str">
        <f t="shared" si="48"/>
        <v/>
      </c>
      <c r="CB54" s="142" t="str">
        <f t="shared" si="49"/>
        <v/>
      </c>
      <c r="CC54" s="142" t="str">
        <f t="shared" si="29"/>
        <v/>
      </c>
      <c r="CD54" s="142" t="str">
        <f t="shared" si="30"/>
        <v/>
      </c>
      <c r="CE54" s="142" t="str">
        <f t="shared" si="31"/>
        <v/>
      </c>
      <c r="CF54" s="142" t="str">
        <f t="shared" si="32"/>
        <v/>
      </c>
      <c r="CG54" s="142" t="str">
        <f t="shared" si="50"/>
        <v/>
      </c>
      <c r="CH54" s="142" t="str">
        <f t="shared" si="51"/>
        <v/>
      </c>
      <c r="CI54" s="142" t="str">
        <f t="shared" si="33"/>
        <v/>
      </c>
      <c r="CJ54" s="142" t="str">
        <f t="shared" si="10"/>
        <v/>
      </c>
      <c r="CK54" s="142" t="str">
        <f t="shared" si="34"/>
        <v/>
      </c>
      <c r="CN54" s="34">
        <f t="shared" si="52"/>
        <v>0</v>
      </c>
      <c r="CO54" s="34">
        <f t="shared" si="52"/>
        <v>0</v>
      </c>
      <c r="CP54" s="34">
        <f t="shared" si="43"/>
        <v>0</v>
      </c>
      <c r="CQ54" s="34">
        <f t="shared" si="44"/>
        <v>0</v>
      </c>
      <c r="CR54" s="34">
        <f t="shared" si="45"/>
        <v>0</v>
      </c>
      <c r="CS54" s="34">
        <f t="shared" si="46"/>
        <v>0</v>
      </c>
      <c r="CT54" s="34">
        <f t="shared" si="53"/>
        <v>0</v>
      </c>
      <c r="CU54" s="34">
        <f t="shared" si="53"/>
        <v>0</v>
      </c>
      <c r="CV54" s="34">
        <f t="shared" si="53"/>
        <v>0</v>
      </c>
      <c r="CW54" s="34">
        <f t="shared" si="38"/>
        <v>0</v>
      </c>
      <c r="CX54" s="34">
        <f t="shared" si="39"/>
        <v>0</v>
      </c>
      <c r="DM54" s="5"/>
      <c r="DN54" s="5"/>
      <c r="DO54" s="5"/>
      <c r="DV54" s="346"/>
    </row>
    <row r="55" spans="1:126" ht="15" customHeight="1">
      <c r="A55" s="2224"/>
      <c r="B55" s="1141" t="s">
        <v>628</v>
      </c>
      <c r="C55" s="962">
        <f t="shared" si="26"/>
        <v>0</v>
      </c>
      <c r="D55" s="720">
        <f t="shared" si="54"/>
        <v>0</v>
      </c>
      <c r="E55" s="1146">
        <f t="shared" si="54"/>
        <v>0</v>
      </c>
      <c r="F55" s="735"/>
      <c r="G55" s="729"/>
      <c r="H55" s="735"/>
      <c r="I55" s="729"/>
      <c r="J55" s="735"/>
      <c r="K55" s="729"/>
      <c r="L55" s="735"/>
      <c r="M55" s="729"/>
      <c r="N55" s="735"/>
      <c r="O55" s="729"/>
      <c r="P55" s="735"/>
      <c r="Q55" s="729"/>
      <c r="R55" s="735"/>
      <c r="S55" s="729"/>
      <c r="T55" s="735"/>
      <c r="U55" s="729"/>
      <c r="V55" s="735"/>
      <c r="W55" s="729"/>
      <c r="X55" s="735"/>
      <c r="Y55" s="729"/>
      <c r="Z55" s="735"/>
      <c r="AA55" s="729"/>
      <c r="AB55" s="735"/>
      <c r="AC55" s="729"/>
      <c r="AD55" s="735"/>
      <c r="AE55" s="729"/>
      <c r="AF55" s="735"/>
      <c r="AG55" s="729"/>
      <c r="AH55" s="735"/>
      <c r="AI55" s="729"/>
      <c r="AJ55" s="735"/>
      <c r="AK55" s="729"/>
      <c r="AL55" s="735"/>
      <c r="AM55" s="736"/>
      <c r="AN55" s="1142"/>
      <c r="AO55" s="1143"/>
      <c r="AP55" s="928"/>
      <c r="AQ55" s="710"/>
      <c r="AR55" s="942"/>
      <c r="AS55" s="729"/>
      <c r="AT55" s="1149"/>
      <c r="AU55" s="1149"/>
      <c r="AV55" s="1149"/>
      <c r="AW55" s="1149"/>
      <c r="AX55" s="1149"/>
      <c r="AY55" s="1121" t="str">
        <f t="shared" si="2"/>
        <v/>
      </c>
      <c r="CA55" s="142" t="str">
        <f t="shared" si="48"/>
        <v/>
      </c>
      <c r="CB55" s="142" t="str">
        <f t="shared" si="49"/>
        <v/>
      </c>
      <c r="CC55" s="142" t="str">
        <f t="shared" si="29"/>
        <v/>
      </c>
      <c r="CD55" s="142" t="str">
        <f t="shared" si="30"/>
        <v/>
      </c>
      <c r="CE55" s="142" t="str">
        <f t="shared" si="31"/>
        <v/>
      </c>
      <c r="CF55" s="142" t="str">
        <f t="shared" si="32"/>
        <v/>
      </c>
      <c r="CG55" s="142" t="str">
        <f t="shared" si="50"/>
        <v/>
      </c>
      <c r="CH55" s="142" t="str">
        <f t="shared" si="51"/>
        <v/>
      </c>
      <c r="CI55" s="142" t="str">
        <f t="shared" si="33"/>
        <v/>
      </c>
      <c r="CJ55" s="142" t="str">
        <f t="shared" si="10"/>
        <v/>
      </c>
      <c r="CK55" s="142" t="str">
        <f t="shared" si="34"/>
        <v/>
      </c>
      <c r="CN55" s="34">
        <f t="shared" si="52"/>
        <v>0</v>
      </c>
      <c r="CO55" s="34">
        <f t="shared" si="52"/>
        <v>0</v>
      </c>
      <c r="CP55" s="34">
        <f t="shared" si="43"/>
        <v>0</v>
      </c>
      <c r="CQ55" s="34">
        <f t="shared" si="44"/>
        <v>0</v>
      </c>
      <c r="CR55" s="34">
        <f t="shared" si="45"/>
        <v>0</v>
      </c>
      <c r="CS55" s="34">
        <f t="shared" si="46"/>
        <v>0</v>
      </c>
      <c r="CT55" s="34">
        <f t="shared" si="53"/>
        <v>0</v>
      </c>
      <c r="CU55" s="34">
        <f t="shared" si="53"/>
        <v>0</v>
      </c>
      <c r="CV55" s="34">
        <f t="shared" si="53"/>
        <v>0</v>
      </c>
      <c r="CW55" s="34">
        <f t="shared" si="38"/>
        <v>0</v>
      </c>
      <c r="CX55" s="34">
        <f t="shared" si="39"/>
        <v>0</v>
      </c>
      <c r="DM55" s="5"/>
      <c r="DN55" s="5"/>
      <c r="DO55" s="5"/>
      <c r="DV55" s="346"/>
    </row>
    <row r="56" spans="1:126" ht="15" customHeight="1">
      <c r="A56" s="2225"/>
      <c r="B56" s="1627" t="s">
        <v>629</v>
      </c>
      <c r="C56" s="962">
        <f t="shared" si="26"/>
        <v>0</v>
      </c>
      <c r="D56" s="733">
        <f t="shared" si="47"/>
        <v>0</v>
      </c>
      <c r="E56" s="1131">
        <f t="shared" si="47"/>
        <v>0</v>
      </c>
      <c r="F56" s="722"/>
      <c r="G56" s="723"/>
      <c r="H56" s="722"/>
      <c r="I56" s="723"/>
      <c r="J56" s="722"/>
      <c r="K56" s="723"/>
      <c r="L56" s="722"/>
      <c r="M56" s="723"/>
      <c r="N56" s="722"/>
      <c r="O56" s="723"/>
      <c r="P56" s="722"/>
      <c r="Q56" s="723"/>
      <c r="R56" s="722"/>
      <c r="S56" s="723"/>
      <c r="T56" s="722"/>
      <c r="U56" s="723"/>
      <c r="V56" s="722"/>
      <c r="W56" s="723"/>
      <c r="X56" s="722"/>
      <c r="Y56" s="723"/>
      <c r="Z56" s="722"/>
      <c r="AA56" s="723"/>
      <c r="AB56" s="722"/>
      <c r="AC56" s="723"/>
      <c r="AD56" s="722"/>
      <c r="AE56" s="723"/>
      <c r="AF56" s="722"/>
      <c r="AG56" s="723"/>
      <c r="AH56" s="722"/>
      <c r="AI56" s="723"/>
      <c r="AJ56" s="722"/>
      <c r="AK56" s="723"/>
      <c r="AL56" s="722"/>
      <c r="AM56" s="762"/>
      <c r="AN56" s="1132"/>
      <c r="AO56" s="1133"/>
      <c r="AP56" s="852"/>
      <c r="AQ56" s="723"/>
      <c r="AR56" s="852"/>
      <c r="AS56" s="723"/>
      <c r="AT56" s="850"/>
      <c r="AU56" s="850"/>
      <c r="AV56" s="850"/>
      <c r="AW56" s="850"/>
      <c r="AX56" s="850"/>
      <c r="AY56" s="1121" t="str">
        <f t="shared" si="2"/>
        <v/>
      </c>
      <c r="CA56" s="142" t="str">
        <f t="shared" si="48"/>
        <v/>
      </c>
      <c r="CB56" s="142" t="str">
        <f t="shared" si="49"/>
        <v/>
      </c>
      <c r="CC56" s="142" t="str">
        <f t="shared" si="29"/>
        <v/>
      </c>
      <c r="CD56" s="142" t="str">
        <f t="shared" si="30"/>
        <v/>
      </c>
      <c r="CE56" s="142" t="str">
        <f t="shared" si="31"/>
        <v/>
      </c>
      <c r="CF56" s="142" t="str">
        <f t="shared" si="32"/>
        <v/>
      </c>
      <c r="CG56" s="142" t="str">
        <f t="shared" si="50"/>
        <v/>
      </c>
      <c r="CH56" s="142" t="str">
        <f t="shared" si="51"/>
        <v/>
      </c>
      <c r="CI56" s="142" t="str">
        <f t="shared" si="33"/>
        <v/>
      </c>
      <c r="CJ56" s="142" t="str">
        <f t="shared" si="10"/>
        <v/>
      </c>
      <c r="CK56" s="142" t="str">
        <f t="shared" si="34"/>
        <v/>
      </c>
      <c r="CN56" s="34">
        <f t="shared" si="52"/>
        <v>0</v>
      </c>
      <c r="CO56" s="34">
        <f t="shared" si="52"/>
        <v>0</v>
      </c>
      <c r="CP56" s="34">
        <f t="shared" si="43"/>
        <v>0</v>
      </c>
      <c r="CQ56" s="34">
        <f t="shared" si="44"/>
        <v>0</v>
      </c>
      <c r="CR56" s="34">
        <f t="shared" si="45"/>
        <v>0</v>
      </c>
      <c r="CS56" s="34">
        <f t="shared" si="46"/>
        <v>0</v>
      </c>
      <c r="CT56" s="34">
        <f t="shared" si="53"/>
        <v>0</v>
      </c>
      <c r="CU56" s="34">
        <f t="shared" si="53"/>
        <v>0</v>
      </c>
      <c r="CV56" s="34">
        <f t="shared" si="53"/>
        <v>0</v>
      </c>
      <c r="CW56" s="34">
        <f t="shared" si="38"/>
        <v>0</v>
      </c>
      <c r="CX56" s="34">
        <f t="shared" si="39"/>
        <v>0</v>
      </c>
      <c r="DM56" s="5"/>
      <c r="DN56" s="5"/>
      <c r="DO56" s="5"/>
      <c r="DV56" s="346"/>
    </row>
    <row r="57" spans="1:126" ht="15" customHeight="1">
      <c r="A57" s="1625" t="s">
        <v>630</v>
      </c>
      <c r="B57" s="1626"/>
      <c r="C57" s="845">
        <f>SUM(D57:E57)</f>
        <v>0</v>
      </c>
      <c r="D57" s="845">
        <f t="shared" si="47"/>
        <v>0</v>
      </c>
      <c r="E57" s="1176">
        <f t="shared" si="47"/>
        <v>0</v>
      </c>
      <c r="F57" s="908"/>
      <c r="G57" s="909"/>
      <c r="H57" s="908"/>
      <c r="I57" s="909"/>
      <c r="J57" s="908"/>
      <c r="K57" s="909"/>
      <c r="L57" s="908"/>
      <c r="M57" s="909"/>
      <c r="N57" s="908"/>
      <c r="O57" s="909"/>
      <c r="P57" s="908"/>
      <c r="Q57" s="909"/>
      <c r="R57" s="908"/>
      <c r="S57" s="909"/>
      <c r="T57" s="908"/>
      <c r="U57" s="909"/>
      <c r="V57" s="908"/>
      <c r="W57" s="909"/>
      <c r="X57" s="908"/>
      <c r="Y57" s="909"/>
      <c r="Z57" s="908"/>
      <c r="AA57" s="909"/>
      <c r="AB57" s="908"/>
      <c r="AC57" s="909"/>
      <c r="AD57" s="908"/>
      <c r="AE57" s="909"/>
      <c r="AF57" s="908"/>
      <c r="AG57" s="909"/>
      <c r="AH57" s="908"/>
      <c r="AI57" s="909"/>
      <c r="AJ57" s="908"/>
      <c r="AK57" s="909"/>
      <c r="AL57" s="908"/>
      <c r="AM57" s="910"/>
      <c r="AN57" s="1128"/>
      <c r="AO57" s="1129"/>
      <c r="AP57" s="936"/>
      <c r="AQ57" s="909"/>
      <c r="AR57" s="936"/>
      <c r="AS57" s="909"/>
      <c r="AT57" s="912"/>
      <c r="AU57" s="912"/>
      <c r="AV57" s="912"/>
      <c r="AW57" s="912"/>
      <c r="AX57" s="912"/>
      <c r="AY57" s="1121" t="str">
        <f>CA57&amp;CB57&amp;CC57&amp;CD57&amp;CE57&amp;CF57&amp;CG57&amp;CH57&amp;CI57&amp;CJ57&amp;CK57</f>
        <v/>
      </c>
      <c r="CA57" s="142" t="str">
        <f t="shared" si="48"/>
        <v/>
      </c>
      <c r="CB57" s="142" t="str">
        <f t="shared" si="49"/>
        <v/>
      </c>
      <c r="CC57" s="142" t="str">
        <f t="shared" si="29"/>
        <v/>
      </c>
      <c r="CD57" s="142" t="str">
        <f t="shared" si="30"/>
        <v/>
      </c>
      <c r="CE57" s="142" t="str">
        <f t="shared" si="31"/>
        <v/>
      </c>
      <c r="CF57" s="142" t="str">
        <f t="shared" si="32"/>
        <v/>
      </c>
      <c r="CG57" s="142" t="str">
        <f t="shared" si="50"/>
        <v/>
      </c>
      <c r="CH57" s="142" t="str">
        <f t="shared" si="51"/>
        <v/>
      </c>
      <c r="CI57" s="142" t="str">
        <f t="shared" si="33"/>
        <v/>
      </c>
      <c r="CJ57" s="142" t="str">
        <f t="shared" si="10"/>
        <v/>
      </c>
      <c r="CK57" s="142" t="str">
        <f t="shared" si="34"/>
        <v/>
      </c>
      <c r="CN57" s="34">
        <f t="shared" si="52"/>
        <v>0</v>
      </c>
      <c r="CO57" s="34">
        <f t="shared" si="52"/>
        <v>0</v>
      </c>
      <c r="CP57" s="34">
        <f t="shared" si="43"/>
        <v>0</v>
      </c>
      <c r="CQ57" s="34">
        <f t="shared" si="44"/>
        <v>0</v>
      </c>
      <c r="CR57" s="34">
        <f t="shared" si="45"/>
        <v>0</v>
      </c>
      <c r="CS57" s="34">
        <f t="shared" si="46"/>
        <v>0</v>
      </c>
      <c r="CT57" s="34">
        <f t="shared" si="53"/>
        <v>0</v>
      </c>
      <c r="CU57" s="34">
        <f t="shared" si="53"/>
        <v>0</v>
      </c>
      <c r="CV57" s="34">
        <f t="shared" si="53"/>
        <v>0</v>
      </c>
      <c r="CW57" s="34">
        <f t="shared" si="38"/>
        <v>0</v>
      </c>
      <c r="CX57" s="34">
        <f t="shared" si="39"/>
        <v>0</v>
      </c>
      <c r="DM57" s="5"/>
      <c r="DN57" s="5"/>
      <c r="DO57" s="5"/>
      <c r="DV57" s="346"/>
    </row>
    <row r="58" spans="1:126" ht="15" customHeight="1">
      <c r="A58" s="2226" t="s">
        <v>631</v>
      </c>
      <c r="B58" s="2227"/>
      <c r="C58" s="962">
        <f>SUM(D58:E58)</f>
        <v>0</v>
      </c>
      <c r="D58" s="733">
        <f t="shared" si="47"/>
        <v>0</v>
      </c>
      <c r="E58" s="734">
        <f t="shared" si="47"/>
        <v>0</v>
      </c>
      <c r="F58" s="722"/>
      <c r="G58" s="723"/>
      <c r="H58" s="722"/>
      <c r="I58" s="723"/>
      <c r="J58" s="722"/>
      <c r="K58" s="723"/>
      <c r="L58" s="722"/>
      <c r="M58" s="723"/>
      <c r="N58" s="722"/>
      <c r="O58" s="723"/>
      <c r="P58" s="722"/>
      <c r="Q58" s="723"/>
      <c r="R58" s="722"/>
      <c r="S58" s="723"/>
      <c r="T58" s="722"/>
      <c r="U58" s="723"/>
      <c r="V58" s="722"/>
      <c r="W58" s="723"/>
      <c r="X58" s="722"/>
      <c r="Y58" s="723"/>
      <c r="Z58" s="722"/>
      <c r="AA58" s="723"/>
      <c r="AB58" s="722"/>
      <c r="AC58" s="723"/>
      <c r="AD58" s="722"/>
      <c r="AE58" s="723"/>
      <c r="AF58" s="722"/>
      <c r="AG58" s="723"/>
      <c r="AH58" s="722"/>
      <c r="AI58" s="723"/>
      <c r="AJ58" s="722"/>
      <c r="AK58" s="723"/>
      <c r="AL58" s="722"/>
      <c r="AM58" s="762"/>
      <c r="AN58" s="1132"/>
      <c r="AO58" s="1133"/>
      <c r="AP58" s="852"/>
      <c r="AQ58" s="723"/>
      <c r="AR58" s="852"/>
      <c r="AS58" s="723"/>
      <c r="AT58" s="850"/>
      <c r="AU58" s="850"/>
      <c r="AV58" s="850"/>
      <c r="AW58" s="850"/>
      <c r="AX58" s="850"/>
      <c r="AY58" s="1121" t="str">
        <f>CA58&amp;CB58&amp;CC58&amp;CD58&amp;CE58&amp;CF58&amp;CG58&amp;CH58&amp;CI58&amp;CJ58&amp;CK58</f>
        <v/>
      </c>
      <c r="CA58" s="142" t="str">
        <f t="shared" si="48"/>
        <v/>
      </c>
      <c r="CB58" s="142" t="str">
        <f t="shared" si="49"/>
        <v/>
      </c>
      <c r="CC58" s="142" t="str">
        <f t="shared" si="29"/>
        <v/>
      </c>
      <c r="CD58" s="142" t="str">
        <f t="shared" si="30"/>
        <v/>
      </c>
      <c r="CE58" s="142" t="str">
        <f t="shared" si="31"/>
        <v/>
      </c>
      <c r="CF58" s="142" t="str">
        <f t="shared" si="32"/>
        <v/>
      </c>
      <c r="CG58" s="142" t="str">
        <f t="shared" si="50"/>
        <v/>
      </c>
      <c r="CH58" s="142" t="str">
        <f t="shared" si="51"/>
        <v/>
      </c>
      <c r="CI58" s="142" t="str">
        <f t="shared" si="33"/>
        <v/>
      </c>
      <c r="CJ58" s="142" t="str">
        <f t="shared" si="10"/>
        <v/>
      </c>
      <c r="CK58" s="142" t="str">
        <f t="shared" si="34"/>
        <v/>
      </c>
      <c r="CN58" s="34">
        <f t="shared" si="52"/>
        <v>0</v>
      </c>
      <c r="CO58" s="34">
        <f t="shared" si="52"/>
        <v>0</v>
      </c>
      <c r="CP58" s="34">
        <f t="shared" si="43"/>
        <v>0</v>
      </c>
      <c r="CQ58" s="34">
        <f t="shared" si="44"/>
        <v>0</v>
      </c>
      <c r="CR58" s="34">
        <f t="shared" si="45"/>
        <v>0</v>
      </c>
      <c r="CS58" s="34">
        <f t="shared" si="46"/>
        <v>0</v>
      </c>
      <c r="CT58" s="34">
        <f t="shared" si="53"/>
        <v>0</v>
      </c>
      <c r="CU58" s="34">
        <f t="shared" si="53"/>
        <v>0</v>
      </c>
      <c r="CV58" s="34">
        <f t="shared" si="53"/>
        <v>0</v>
      </c>
      <c r="CW58" s="34">
        <f t="shared" si="38"/>
        <v>0</v>
      </c>
      <c r="CX58" s="34">
        <f t="shared" si="39"/>
        <v>0</v>
      </c>
      <c r="DM58" s="5"/>
      <c r="DN58" s="5"/>
      <c r="DO58" s="5"/>
      <c r="DV58" s="346"/>
    </row>
    <row r="59" spans="1:126" s="6" customFormat="1" ht="15" customHeight="1">
      <c r="A59" s="1177" t="s">
        <v>632</v>
      </c>
      <c r="B59" s="1177"/>
      <c r="C59" s="914"/>
      <c r="D59" s="914"/>
      <c r="E59" s="915"/>
      <c r="F59" s="915"/>
      <c r="G59" s="915"/>
      <c r="H59" s="915"/>
      <c r="I59" s="915"/>
      <c r="J59" s="915"/>
      <c r="K59" s="915"/>
      <c r="L59" s="915"/>
      <c r="M59" s="915"/>
      <c r="N59" s="915"/>
      <c r="O59" s="91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DK59" s="5"/>
      <c r="DL59" s="5"/>
      <c r="DM59" s="5"/>
      <c r="DN59" s="5"/>
      <c r="DO59" s="5"/>
      <c r="DP59" s="5"/>
      <c r="DQ59" s="5"/>
      <c r="DR59" s="5"/>
      <c r="DS59" s="346"/>
      <c r="DT59" s="5"/>
      <c r="DV59" s="5"/>
    </row>
    <row r="60" spans="1:126" s="6" customFormat="1" ht="15" customHeight="1">
      <c r="A60" s="2416" t="s">
        <v>633</v>
      </c>
      <c r="B60" s="2416" t="s">
        <v>634</v>
      </c>
      <c r="C60" s="2402" t="s">
        <v>215</v>
      </c>
      <c r="D60" s="2402"/>
      <c r="E60" s="2402"/>
      <c r="F60" s="2403" t="s">
        <v>354</v>
      </c>
      <c r="G60" s="2402"/>
      <c r="H60" s="2402"/>
      <c r="I60" s="2402"/>
      <c r="J60" s="2402"/>
      <c r="K60" s="2402"/>
      <c r="L60" s="2402"/>
      <c r="M60" s="2402"/>
      <c r="N60" s="2402"/>
      <c r="O60" s="2402"/>
      <c r="P60" s="2402"/>
      <c r="Q60" s="2402"/>
      <c r="R60" s="2402"/>
      <c r="S60" s="2402"/>
      <c r="T60" s="2402"/>
      <c r="U60" s="2402"/>
      <c r="V60" s="2402"/>
      <c r="W60" s="2402"/>
      <c r="X60" s="2402"/>
      <c r="Y60" s="2402"/>
      <c r="Z60" s="2402"/>
      <c r="AA60" s="2402"/>
      <c r="AB60" s="2402"/>
      <c r="AC60" s="2402"/>
      <c r="AD60" s="2402"/>
      <c r="AE60" s="2402"/>
      <c r="AF60" s="2402"/>
      <c r="AG60" s="2402"/>
      <c r="AH60" s="2402"/>
      <c r="AI60" s="2402"/>
      <c r="AJ60" s="2402"/>
      <c r="AK60" s="2402"/>
      <c r="AL60" s="2402"/>
      <c r="AM60" s="2402"/>
      <c r="AN60" s="5"/>
      <c r="AO60" s="5"/>
      <c r="AP60" s="5"/>
      <c r="AQ60" s="5"/>
      <c r="AR60" s="5"/>
      <c r="AS60" s="5"/>
      <c r="AT60" s="5"/>
      <c r="AU60" s="5"/>
      <c r="AV60" s="5"/>
      <c r="AW60" s="5"/>
      <c r="AX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DK60" s="5"/>
      <c r="DL60" s="5"/>
      <c r="DM60" s="5"/>
      <c r="DN60" s="5"/>
      <c r="DO60" s="5"/>
      <c r="DP60" s="5"/>
      <c r="DQ60" s="5"/>
      <c r="DR60" s="5"/>
      <c r="DS60" s="346"/>
      <c r="DT60" s="5"/>
      <c r="DV60" s="5"/>
    </row>
    <row r="61" spans="1:126" s="6" customFormat="1" ht="15" customHeight="1">
      <c r="A61" s="2416"/>
      <c r="B61" s="2416"/>
      <c r="C61" s="2402"/>
      <c r="D61" s="2402"/>
      <c r="E61" s="2402"/>
      <c r="F61" s="2402" t="s">
        <v>356</v>
      </c>
      <c r="G61" s="2402"/>
      <c r="H61" s="2402" t="s">
        <v>357</v>
      </c>
      <c r="I61" s="2402"/>
      <c r="J61" s="1897" t="s">
        <v>264</v>
      </c>
      <c r="K61" s="1897"/>
      <c r="L61" s="1897" t="s">
        <v>13</v>
      </c>
      <c r="M61" s="1897"/>
      <c r="N61" s="1897" t="s">
        <v>14</v>
      </c>
      <c r="O61" s="1897"/>
      <c r="P61" s="1897" t="s">
        <v>15</v>
      </c>
      <c r="Q61" s="1897"/>
      <c r="R61" s="1897" t="s">
        <v>16</v>
      </c>
      <c r="S61" s="1897"/>
      <c r="T61" s="1897" t="s">
        <v>17</v>
      </c>
      <c r="U61" s="1897"/>
      <c r="V61" s="1897" t="s">
        <v>18</v>
      </c>
      <c r="W61" s="1897"/>
      <c r="X61" s="1897" t="s">
        <v>19</v>
      </c>
      <c r="Y61" s="1897"/>
      <c r="Z61" s="1897" t="s">
        <v>20</v>
      </c>
      <c r="AA61" s="1897"/>
      <c r="AB61" s="1897" t="s">
        <v>21</v>
      </c>
      <c r="AC61" s="1897"/>
      <c r="AD61" s="1897" t="s">
        <v>22</v>
      </c>
      <c r="AE61" s="1897"/>
      <c r="AF61" s="2417" t="s">
        <v>23</v>
      </c>
      <c r="AG61" s="2417"/>
      <c r="AH61" s="2417" t="s">
        <v>358</v>
      </c>
      <c r="AI61" s="2417"/>
      <c r="AJ61" s="2417" t="s">
        <v>359</v>
      </c>
      <c r="AK61" s="2417"/>
      <c r="AL61" s="2418" t="s">
        <v>360</v>
      </c>
      <c r="AM61" s="2418"/>
      <c r="AN61" s="5"/>
      <c r="AO61" s="5"/>
      <c r="AP61" s="5"/>
      <c r="AQ61" s="5"/>
      <c r="AR61" s="5"/>
      <c r="AS61" s="5"/>
      <c r="AT61" s="5"/>
      <c r="AU61" s="5"/>
      <c r="AV61" s="5"/>
      <c r="AW61" s="5"/>
      <c r="AX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DK61" s="5"/>
      <c r="DL61" s="5"/>
      <c r="DM61" s="5"/>
      <c r="DN61" s="5"/>
      <c r="DO61" s="5"/>
      <c r="DP61" s="5"/>
      <c r="DQ61" s="5"/>
      <c r="DR61" s="5"/>
      <c r="DS61" s="346"/>
      <c r="DT61" s="5"/>
      <c r="DV61" s="5"/>
    </row>
    <row r="62" spans="1:126" s="6" customFormat="1" ht="15" customHeight="1">
      <c r="A62" s="2416"/>
      <c r="B62" s="2416"/>
      <c r="C62" s="2407" t="s">
        <v>178</v>
      </c>
      <c r="D62" s="13" t="s">
        <v>42</v>
      </c>
      <c r="E62" s="689" t="s">
        <v>179</v>
      </c>
      <c r="F62" s="688" t="s">
        <v>42</v>
      </c>
      <c r="G62" s="689" t="s">
        <v>179</v>
      </c>
      <c r="H62" s="688" t="s">
        <v>42</v>
      </c>
      <c r="I62" s="689" t="s">
        <v>179</v>
      </c>
      <c r="J62" s="688" t="s">
        <v>42</v>
      </c>
      <c r="K62" s="689" t="s">
        <v>179</v>
      </c>
      <c r="L62" s="688" t="s">
        <v>42</v>
      </c>
      <c r="M62" s="689" t="s">
        <v>179</v>
      </c>
      <c r="N62" s="688" t="s">
        <v>42</v>
      </c>
      <c r="O62" s="689" t="s">
        <v>179</v>
      </c>
      <c r="P62" s="688" t="s">
        <v>42</v>
      </c>
      <c r="Q62" s="689" t="s">
        <v>179</v>
      </c>
      <c r="R62" s="688" t="s">
        <v>42</v>
      </c>
      <c r="S62" s="689" t="s">
        <v>179</v>
      </c>
      <c r="T62" s="688" t="s">
        <v>42</v>
      </c>
      <c r="U62" s="689" t="s">
        <v>179</v>
      </c>
      <c r="V62" s="688" t="s">
        <v>42</v>
      </c>
      <c r="W62" s="689" t="s">
        <v>179</v>
      </c>
      <c r="X62" s="688" t="s">
        <v>42</v>
      </c>
      <c r="Y62" s="689" t="s">
        <v>179</v>
      </c>
      <c r="Z62" s="688" t="s">
        <v>42</v>
      </c>
      <c r="AA62" s="689" t="s">
        <v>179</v>
      </c>
      <c r="AB62" s="688" t="s">
        <v>42</v>
      </c>
      <c r="AC62" s="689" t="s">
        <v>179</v>
      </c>
      <c r="AD62" s="688" t="s">
        <v>42</v>
      </c>
      <c r="AE62" s="689" t="s">
        <v>179</v>
      </c>
      <c r="AF62" s="688" t="s">
        <v>42</v>
      </c>
      <c r="AG62" s="689" t="s">
        <v>179</v>
      </c>
      <c r="AH62" s="688" t="s">
        <v>42</v>
      </c>
      <c r="AI62" s="689" t="s">
        <v>179</v>
      </c>
      <c r="AJ62" s="688" t="s">
        <v>42</v>
      </c>
      <c r="AK62" s="689" t="s">
        <v>179</v>
      </c>
      <c r="AL62" s="688" t="s">
        <v>42</v>
      </c>
      <c r="AM62" s="689" t="s">
        <v>179</v>
      </c>
      <c r="AN62" s="5"/>
      <c r="AO62" s="5"/>
      <c r="AP62" s="5"/>
      <c r="AQ62" s="5"/>
      <c r="AR62" s="5"/>
      <c r="AS62" s="5"/>
      <c r="AT62" s="5"/>
      <c r="AU62" s="5"/>
      <c r="AV62" s="5"/>
      <c r="AW62" s="5"/>
      <c r="AX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DK62" s="5"/>
      <c r="DL62" s="5"/>
      <c r="DM62" s="5"/>
      <c r="DN62" s="5"/>
      <c r="DO62" s="5"/>
      <c r="DP62" s="5"/>
      <c r="DQ62" s="5"/>
      <c r="DR62" s="5"/>
      <c r="DS62" s="346"/>
      <c r="DT62" s="5"/>
      <c r="DV62" s="5"/>
    </row>
    <row r="63" spans="1:126" ht="15" customHeight="1">
      <c r="A63" s="1178" t="s">
        <v>635</v>
      </c>
      <c r="B63" s="1178" t="s">
        <v>584</v>
      </c>
      <c r="C63" s="1263">
        <v>0</v>
      </c>
      <c r="D63" s="1180">
        <f>+F63+H63+J63+L63+N63+P63+R63+T63+V63+X63+Z63+AB63+AD63+AF63+AH63+AJ63+AL63</f>
        <v>0</v>
      </c>
      <c r="E63" s="1181">
        <f>+G63+I63+K63+M63+O63+Q63+S63+U63+W63+Y63+AA63+AC63+AE63+AG63+AI63+AK63+AM63</f>
        <v>0</v>
      </c>
      <c r="F63" s="1182"/>
      <c r="G63" s="1183"/>
      <c r="H63" s="1182"/>
      <c r="I63" s="1183"/>
      <c r="J63" s="1182"/>
      <c r="K63" s="1183"/>
      <c r="L63" s="1182"/>
      <c r="M63" s="1183"/>
      <c r="N63" s="1182"/>
      <c r="O63" s="1183"/>
      <c r="P63" s="1182"/>
      <c r="Q63" s="1183"/>
      <c r="R63" s="1182"/>
      <c r="S63" s="1183"/>
      <c r="T63" s="1182"/>
      <c r="U63" s="1183"/>
      <c r="V63" s="1182"/>
      <c r="W63" s="1183"/>
      <c r="X63" s="1182"/>
      <c r="Y63" s="1183"/>
      <c r="Z63" s="1182"/>
      <c r="AA63" s="1183"/>
      <c r="AB63" s="1182"/>
      <c r="AC63" s="1183"/>
      <c r="AD63" s="1182"/>
      <c r="AE63" s="1183"/>
      <c r="AF63" s="1182"/>
      <c r="AG63" s="1183"/>
      <c r="AH63" s="1182"/>
      <c r="AI63" s="1183"/>
      <c r="AJ63" s="1182"/>
      <c r="AK63" s="1183"/>
      <c r="AL63" s="1182"/>
      <c r="AM63" s="1184"/>
      <c r="AN63" s="174"/>
      <c r="CA63" s="5"/>
      <c r="CT63" s="5"/>
      <c r="CU63" s="5"/>
      <c r="CV63" s="5"/>
      <c r="DM63" s="5"/>
      <c r="DN63" s="5"/>
      <c r="DO63" s="5"/>
      <c r="DP63" s="346"/>
      <c r="DQ63" s="346"/>
      <c r="DR63" s="346"/>
      <c r="DS63" s="346"/>
    </row>
    <row r="64" spans="1:126" s="800" customFormat="1" ht="15" customHeight="1">
      <c r="A64" s="1185" t="s">
        <v>636</v>
      </c>
      <c r="B64" s="1185" t="s">
        <v>584</v>
      </c>
      <c r="C64" s="1263">
        <v>0</v>
      </c>
      <c r="D64" s="1187">
        <f>+F64+H64+J64+L64+N64+P64+R64+T64+V64+X64+Z64+AB64+AD64+AF64+AH64+AJ64+AL64</f>
        <v>0</v>
      </c>
      <c r="E64" s="1188">
        <f>+G64+I64+K64+M64+O64+Q64+S64+U64+W64+Y64+AA64+AC64+AE64+AG64+AI64+AK64+AM64</f>
        <v>0</v>
      </c>
      <c r="F64" s="1189"/>
      <c r="G64" s="1190"/>
      <c r="H64" s="1189"/>
      <c r="I64" s="1190"/>
      <c r="J64" s="1189"/>
      <c r="K64" s="1190"/>
      <c r="L64" s="1189"/>
      <c r="M64" s="1190"/>
      <c r="N64" s="1189"/>
      <c r="O64" s="1190"/>
      <c r="P64" s="1189"/>
      <c r="Q64" s="1190"/>
      <c r="R64" s="1189"/>
      <c r="S64" s="1190"/>
      <c r="T64" s="1189"/>
      <c r="U64" s="1190"/>
      <c r="V64" s="1189"/>
      <c r="W64" s="1190"/>
      <c r="X64" s="1189"/>
      <c r="Y64" s="1190"/>
      <c r="Z64" s="1189"/>
      <c r="AA64" s="1190"/>
      <c r="AB64" s="1189"/>
      <c r="AC64" s="1190"/>
      <c r="AD64" s="1189"/>
      <c r="AE64" s="1190"/>
      <c r="AF64" s="1189"/>
      <c r="AG64" s="1190"/>
      <c r="AH64" s="1189"/>
      <c r="AI64" s="1190"/>
      <c r="AJ64" s="1189"/>
      <c r="AK64" s="1190"/>
      <c r="AL64" s="1189"/>
      <c r="AM64" s="1191"/>
      <c r="AN64" s="174"/>
      <c r="AO64" s="5"/>
      <c r="AP64" s="5"/>
      <c r="AQ64" s="5"/>
      <c r="AR64" s="5"/>
      <c r="AS64" s="5"/>
      <c r="AT64" s="5"/>
      <c r="AU64" s="5"/>
      <c r="AV64" s="5"/>
      <c r="AW64" s="5"/>
      <c r="AX64" s="5"/>
      <c r="CV64" s="5"/>
      <c r="CW64" s="5"/>
      <c r="CX64" s="5"/>
      <c r="DS64" s="346"/>
    </row>
    <row r="65" spans="1:124" s="800" customFormat="1" ht="17.149999999999999" customHeight="1">
      <c r="A65" s="1192" t="s">
        <v>637</v>
      </c>
      <c r="B65" s="1193"/>
      <c r="C65" s="5"/>
      <c r="D65" s="5"/>
      <c r="E65" s="5"/>
      <c r="F65" s="5"/>
      <c r="G65" s="5"/>
      <c r="H65" s="5"/>
      <c r="I65" s="5"/>
      <c r="J65" s="5"/>
      <c r="K65" s="5"/>
      <c r="L65" s="5"/>
      <c r="M65" s="5"/>
      <c r="N65" s="5"/>
      <c r="O65" s="1194"/>
      <c r="P65" s="1194"/>
      <c r="Q65" s="1194"/>
      <c r="R65" s="1194"/>
      <c r="S65" s="1194"/>
      <c r="T65" s="1194"/>
      <c r="U65" s="1194"/>
      <c r="V65" s="1194"/>
      <c r="W65" s="1194"/>
      <c r="X65" s="1194"/>
      <c r="Y65" s="1194"/>
      <c r="Z65" s="1194"/>
      <c r="AA65" s="1194"/>
      <c r="AB65" s="1194"/>
      <c r="AC65" s="1194"/>
      <c r="AD65" s="1194"/>
      <c r="AE65" s="1194"/>
      <c r="AF65" s="1194"/>
      <c r="AG65" s="1194"/>
      <c r="AH65" s="1194"/>
      <c r="AI65" s="1194"/>
      <c r="AJ65" s="1194"/>
      <c r="AK65" s="1194"/>
      <c r="AL65" s="1194"/>
      <c r="AM65" s="1194"/>
      <c r="AN65" s="1195"/>
      <c r="AO65" s="6"/>
      <c r="AP65" s="6"/>
      <c r="AQ65" s="6"/>
      <c r="AR65" s="6"/>
      <c r="AS65" s="6"/>
      <c r="AT65" s="6"/>
      <c r="AU65" s="6"/>
      <c r="AV65" s="6"/>
      <c r="AW65" s="6"/>
      <c r="AX65" s="6"/>
      <c r="AY65" s="5"/>
      <c r="AZ65" s="5"/>
      <c r="BA65" s="5"/>
      <c r="BB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DK65" s="5"/>
      <c r="DL65" s="5"/>
      <c r="DM65" s="5"/>
      <c r="DN65" s="5"/>
      <c r="DO65" s="5"/>
      <c r="DS65" s="346"/>
    </row>
    <row r="66" spans="1:124" s="800" customFormat="1" ht="15" customHeight="1">
      <c r="A66" s="2204" t="s">
        <v>399</v>
      </c>
      <c r="B66" s="2205"/>
      <c r="C66" s="2210" t="s">
        <v>5</v>
      </c>
      <c r="D66" s="2211"/>
      <c r="E66" s="2212"/>
      <c r="F66" s="2419" t="s">
        <v>354</v>
      </c>
      <c r="G66" s="2420"/>
      <c r="H66" s="2420"/>
      <c r="I66" s="2420"/>
      <c r="J66" s="2420"/>
      <c r="K66" s="2420"/>
      <c r="L66" s="2420"/>
      <c r="M66" s="2420"/>
      <c r="N66" s="2420"/>
      <c r="O66" s="2421"/>
      <c r="P66" s="2193" t="s">
        <v>261</v>
      </c>
      <c r="Q66" s="2184"/>
      <c r="R66" s="1194"/>
      <c r="S66" s="1194"/>
      <c r="T66" s="1194"/>
      <c r="U66" s="1194"/>
      <c r="V66" s="1194"/>
      <c r="W66" s="1194"/>
      <c r="X66" s="1194"/>
      <c r="Y66" s="1194"/>
      <c r="Z66" s="1194"/>
      <c r="AA66" s="1194"/>
      <c r="AB66" s="1194"/>
      <c r="AC66" s="1194"/>
      <c r="AD66" s="1194"/>
      <c r="AE66" s="1194"/>
      <c r="AF66" s="1194"/>
      <c r="AG66" s="1194"/>
      <c r="AH66" s="1194"/>
      <c r="AI66" s="1194"/>
      <c r="AJ66" s="1194"/>
      <c r="AK66" s="1194"/>
      <c r="AL66" s="1194"/>
      <c r="AM66" s="1194"/>
      <c r="AN66" s="1195"/>
      <c r="AO66" s="6"/>
      <c r="AP66" s="6"/>
      <c r="AQ66" s="6"/>
      <c r="AR66" s="6"/>
      <c r="AS66" s="6"/>
      <c r="AT66" s="6"/>
      <c r="AU66" s="6"/>
      <c r="AV66" s="6"/>
      <c r="AW66" s="6"/>
      <c r="AX66" s="6"/>
      <c r="AY66" s="5"/>
      <c r="AZ66" s="5"/>
      <c r="BA66" s="5"/>
      <c r="BB66" s="5"/>
      <c r="CA66" s="5"/>
      <c r="CB66" s="5"/>
      <c r="CC66" s="5"/>
      <c r="CD66" s="5"/>
      <c r="CE66" s="5"/>
      <c r="CF66" s="5"/>
      <c r="CG66" s="5"/>
      <c r="CH66" s="5"/>
      <c r="CI66" s="5"/>
      <c r="CJ66" s="1624"/>
      <c r="CK66" s="1624"/>
      <c r="CL66" s="5"/>
      <c r="CM66" s="5"/>
      <c r="CN66" s="602"/>
      <c r="CO66" s="5"/>
      <c r="CP66" s="5"/>
      <c r="CQ66" s="5"/>
      <c r="CR66" s="5"/>
      <c r="CS66" s="5"/>
      <c r="CT66" s="5"/>
      <c r="CU66" s="5"/>
      <c r="CV66" s="5"/>
      <c r="CW66" s="5"/>
      <c r="CX66" s="5"/>
      <c r="CY66" s="20"/>
      <c r="DK66" s="5"/>
      <c r="DL66" s="5"/>
      <c r="DM66" s="5"/>
      <c r="DN66" s="5"/>
      <c r="DO66" s="5"/>
      <c r="DS66" s="346"/>
    </row>
    <row r="67" spans="1:124" s="800" customFormat="1" ht="15" customHeight="1">
      <c r="A67" s="2206"/>
      <c r="B67" s="2207"/>
      <c r="C67" s="2213"/>
      <c r="D67" s="2214"/>
      <c r="E67" s="2215"/>
      <c r="F67" s="2402" t="s">
        <v>356</v>
      </c>
      <c r="G67" s="2402"/>
      <c r="H67" s="2402" t="s">
        <v>357</v>
      </c>
      <c r="I67" s="2402"/>
      <c r="J67" s="1897" t="s">
        <v>264</v>
      </c>
      <c r="K67" s="1897"/>
      <c r="L67" s="1897" t="s">
        <v>13</v>
      </c>
      <c r="M67" s="1897"/>
      <c r="N67" s="1897" t="s">
        <v>14</v>
      </c>
      <c r="O67" s="1897"/>
      <c r="P67" s="2195"/>
      <c r="Q67" s="2186"/>
      <c r="R67" s="1194"/>
      <c r="S67" s="1194"/>
      <c r="T67" s="1194"/>
      <c r="U67" s="1194"/>
      <c r="V67" s="1194"/>
      <c r="W67" s="1194"/>
      <c r="X67" s="1194"/>
      <c r="Y67" s="1194"/>
      <c r="Z67" s="1194"/>
      <c r="AA67" s="1194"/>
      <c r="AB67" s="1194"/>
      <c r="AC67" s="1194"/>
      <c r="AD67" s="1194"/>
      <c r="AE67" s="1194"/>
      <c r="AF67" s="1194"/>
      <c r="AG67" s="1194"/>
      <c r="AH67" s="1194"/>
      <c r="AI67" s="1194"/>
      <c r="AJ67" s="1194"/>
      <c r="AK67" s="1194"/>
      <c r="AL67" s="1194"/>
      <c r="AM67" s="1194"/>
      <c r="AN67" s="1195"/>
      <c r="AO67" s="6"/>
      <c r="AP67" s="6"/>
      <c r="AQ67" s="6"/>
      <c r="AR67" s="6"/>
      <c r="AS67" s="6"/>
      <c r="AT67" s="6"/>
      <c r="AU67" s="6"/>
      <c r="AV67" s="6"/>
      <c r="AW67" s="6"/>
      <c r="AX67" s="6"/>
      <c r="AY67" s="5"/>
      <c r="AZ67" s="5"/>
      <c r="BA67" s="5"/>
      <c r="BB67" s="5"/>
      <c r="CA67" s="5"/>
      <c r="CB67" s="5"/>
      <c r="CC67" s="20"/>
      <c r="CD67" s="20"/>
      <c r="CE67" s="1624"/>
      <c r="CF67" s="1624"/>
      <c r="CG67" s="5"/>
      <c r="CH67" s="5"/>
      <c r="CI67" s="5"/>
      <c r="CJ67" s="5"/>
      <c r="CK67" s="5"/>
      <c r="CL67" s="5"/>
      <c r="CM67" s="5"/>
      <c r="CN67" s="20"/>
      <c r="CO67" s="5"/>
      <c r="CP67" s="5"/>
      <c r="CQ67" s="5"/>
      <c r="CR67" s="5"/>
      <c r="CS67" s="1624"/>
      <c r="CT67" s="1624"/>
      <c r="CU67" s="5"/>
      <c r="CV67" s="5"/>
      <c r="CW67" s="5"/>
      <c r="CX67" s="5"/>
      <c r="CY67" s="20"/>
      <c r="DK67" s="5"/>
      <c r="DL67" s="5"/>
      <c r="DM67" s="5"/>
      <c r="DN67" s="5"/>
      <c r="DO67" s="1624"/>
      <c r="DS67" s="346"/>
    </row>
    <row r="68" spans="1:124" s="7" customFormat="1" ht="15" customHeight="1">
      <c r="A68" s="2208"/>
      <c r="B68" s="2209"/>
      <c r="C68" s="2407" t="s">
        <v>443</v>
      </c>
      <c r="D68" s="13" t="s">
        <v>42</v>
      </c>
      <c r="E68" s="689" t="s">
        <v>179</v>
      </c>
      <c r="F68" s="688" t="s">
        <v>42</v>
      </c>
      <c r="G68" s="689" t="s">
        <v>179</v>
      </c>
      <c r="H68" s="688" t="s">
        <v>42</v>
      </c>
      <c r="I68" s="689" t="s">
        <v>179</v>
      </c>
      <c r="J68" s="688" t="s">
        <v>42</v>
      </c>
      <c r="K68" s="689" t="s">
        <v>179</v>
      </c>
      <c r="L68" s="688" t="s">
        <v>42</v>
      </c>
      <c r="M68" s="689" t="s">
        <v>179</v>
      </c>
      <c r="N68" s="688" t="s">
        <v>42</v>
      </c>
      <c r="O68" s="1196" t="s">
        <v>179</v>
      </c>
      <c r="P68" s="2408" t="s">
        <v>42</v>
      </c>
      <c r="Q68" s="1630" t="s">
        <v>179</v>
      </c>
      <c r="R68" s="1194"/>
      <c r="S68" s="1194"/>
      <c r="T68" s="1194"/>
      <c r="U68" s="1194"/>
      <c r="V68" s="1194"/>
      <c r="W68" s="1194"/>
      <c r="X68" s="1194"/>
      <c r="Y68" s="1194"/>
      <c r="Z68" s="1194"/>
      <c r="AA68" s="1194"/>
      <c r="AB68" s="1194"/>
      <c r="AC68" s="1194"/>
      <c r="AD68" s="1194"/>
      <c r="AE68" s="1194"/>
      <c r="AF68" s="1194"/>
      <c r="AG68" s="1194"/>
      <c r="AH68" s="1194"/>
      <c r="AI68" s="1194"/>
      <c r="AJ68" s="1194"/>
      <c r="AK68" s="1194"/>
      <c r="AL68" s="1194"/>
      <c r="AM68" s="1194"/>
      <c r="AN68" s="1195"/>
      <c r="AO68" s="6"/>
      <c r="AP68" s="6"/>
      <c r="AQ68" s="6"/>
      <c r="AR68" s="6"/>
      <c r="AS68" s="6"/>
      <c r="AT68" s="6"/>
      <c r="AU68" s="6"/>
      <c r="AV68" s="6"/>
      <c r="AW68" s="6"/>
      <c r="AX68" s="6"/>
      <c r="AY68" s="350"/>
      <c r="AZ68" s="350"/>
      <c r="BA68" s="350"/>
      <c r="BB68" s="350"/>
      <c r="CA68" s="5"/>
      <c r="CB68" s="5"/>
      <c r="CC68" s="5"/>
      <c r="CD68" s="5"/>
      <c r="CE68" s="20"/>
      <c r="CF68" s="20"/>
      <c r="CG68" s="5"/>
      <c r="CH68" s="5"/>
      <c r="CI68" s="5"/>
      <c r="CJ68" s="5"/>
      <c r="CK68" s="5"/>
      <c r="CL68" s="5"/>
      <c r="CM68" s="5"/>
      <c r="CN68" s="5"/>
      <c r="CO68" s="5"/>
      <c r="CP68" s="5"/>
      <c r="CQ68" s="5"/>
      <c r="CR68" s="5"/>
      <c r="CS68" s="20"/>
      <c r="CT68" s="20"/>
      <c r="CU68" s="5"/>
      <c r="CV68" s="5"/>
      <c r="CW68" s="5"/>
      <c r="CX68" s="5"/>
      <c r="CY68" s="5"/>
      <c r="DK68" s="5"/>
      <c r="DL68" s="5"/>
      <c r="DM68" s="5"/>
      <c r="DN68" s="5"/>
      <c r="DO68" s="20"/>
      <c r="DS68" s="346"/>
    </row>
    <row r="69" spans="1:124" s="800" customFormat="1" ht="15" customHeight="1">
      <c r="A69" s="2422" t="s">
        <v>654</v>
      </c>
      <c r="B69" s="2190"/>
      <c r="C69" s="286">
        <f>SUM(D69:E69)</f>
        <v>0</v>
      </c>
      <c r="D69" s="2423">
        <f>+F69+H69+J69+L69+N69</f>
        <v>0</v>
      </c>
      <c r="E69" s="1197">
        <f>+G69+I69+K69+M69+O69</f>
        <v>0</v>
      </c>
      <c r="F69" s="1198"/>
      <c r="G69" s="2424"/>
      <c r="H69" s="1198"/>
      <c r="I69" s="2424"/>
      <c r="J69" s="1198"/>
      <c r="K69" s="2424"/>
      <c r="L69" s="1198"/>
      <c r="M69" s="2424"/>
      <c r="N69" s="1198"/>
      <c r="O69" s="1199"/>
      <c r="P69" s="2424"/>
      <c r="Q69" s="1200"/>
      <c r="R69" s="1121" t="str">
        <f>CA69&amp;CB69</f>
        <v/>
      </c>
      <c r="S69" s="5"/>
      <c r="T69" s="5"/>
      <c r="U69" s="346"/>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Z69" s="350"/>
      <c r="BA69" s="350"/>
      <c r="BB69" s="350"/>
      <c r="CA69" s="142" t="str">
        <f>IF(AND(D69&gt;0,OR(P69=""))," * No olvide digitar la variable Población Migrantes Hombres (Digite Cero si no tiene).",IF(P69&gt;D69," * La variable Población Migrantes Hombres no debe ser mayor al Total Hombres.",""))</f>
        <v/>
      </c>
      <c r="CB69" s="142" t="str">
        <f>IF(AND(E69&gt;0,OR(Q69=""))," * No olvide digitar la variable Población Migrantes Mujeres (Digite Cero si no tiene).",IF(Q69&gt;E69," * La variable Población Migrantes Mujeres no debe ser mayor al Total Mujeres.",""))</f>
        <v/>
      </c>
      <c r="CC69" s="5"/>
      <c r="CD69" s="5"/>
      <c r="CG69" s="5"/>
      <c r="CH69" s="5"/>
      <c r="CI69" s="5"/>
      <c r="CJ69" s="5"/>
      <c r="CK69" s="5"/>
      <c r="CL69" s="5"/>
      <c r="CM69" s="5"/>
      <c r="CN69" s="34">
        <f>IF(AND($D69&gt;0,OR(P69="")),1,IF(P69&gt;$D69,1,0))</f>
        <v>0</v>
      </c>
      <c r="CO69" s="34">
        <f>IF(AND($E69&gt;0,OR(Q69="")),1,IF(Q69&gt;$E69,1,0))</f>
        <v>0</v>
      </c>
      <c r="CP69" s="5"/>
      <c r="CQ69" s="5"/>
      <c r="CR69" s="5"/>
      <c r="CS69" s="5"/>
      <c r="CT69" s="5"/>
      <c r="CU69" s="5"/>
      <c r="CV69" s="5"/>
      <c r="CW69" s="5"/>
      <c r="CX69" s="5"/>
      <c r="CY69" s="5"/>
      <c r="DK69" s="5"/>
      <c r="DL69" s="5"/>
      <c r="DR69" s="346"/>
    </row>
    <row r="70" spans="1:124" s="800" customFormat="1" ht="17.149999999999999" customHeight="1">
      <c r="A70" s="1201" t="s">
        <v>638</v>
      </c>
      <c r="B70" s="1202"/>
      <c r="C70" s="283"/>
      <c r="D70" s="283"/>
      <c r="E70" s="283"/>
      <c r="F70" s="283"/>
      <c r="G70" s="283"/>
      <c r="H70" s="283"/>
      <c r="I70" s="283"/>
      <c r="J70" s="283"/>
      <c r="K70" s="283"/>
      <c r="L70" s="283"/>
      <c r="M70" s="283"/>
      <c r="N70" s="283"/>
      <c r="O70" s="283"/>
      <c r="P70" s="283"/>
      <c r="Q70" s="283"/>
      <c r="R70" s="1121"/>
      <c r="S70" s="5"/>
      <c r="T70" s="5"/>
      <c r="U70" s="346"/>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Z70" s="350"/>
      <c r="BA70" s="350"/>
      <c r="BB70" s="350"/>
      <c r="CA70" s="5"/>
      <c r="CB70" s="5"/>
      <c r="CC70" s="5"/>
      <c r="CD70" s="5"/>
      <c r="CG70" s="5"/>
      <c r="CH70" s="5"/>
      <c r="CI70" s="5"/>
      <c r="CJ70" s="5"/>
      <c r="CK70" s="5"/>
      <c r="CL70" s="5"/>
      <c r="CM70" s="5"/>
      <c r="CN70" s="5"/>
      <c r="CO70" s="5"/>
      <c r="CP70" s="5"/>
      <c r="CQ70" s="5"/>
      <c r="CR70" s="5"/>
      <c r="CS70" s="5"/>
      <c r="CT70" s="5"/>
      <c r="CU70" s="5"/>
      <c r="CV70" s="5"/>
      <c r="CW70" s="5"/>
      <c r="CX70" s="5"/>
      <c r="CY70" s="5"/>
      <c r="DK70" s="5"/>
      <c r="DL70" s="5"/>
      <c r="DR70" s="346"/>
    </row>
    <row r="71" spans="1:124" s="800" customFormat="1" ht="17.149999999999999" customHeight="1">
      <c r="A71" s="2191" t="s">
        <v>639</v>
      </c>
      <c r="B71" s="2192"/>
      <c r="C71" s="2192"/>
      <c r="D71" s="2192"/>
      <c r="E71" s="2192"/>
      <c r="F71" s="2192"/>
      <c r="G71" s="2192"/>
      <c r="H71" s="2192"/>
      <c r="I71" s="2192"/>
      <c r="J71" s="2192"/>
      <c r="K71" s="2192"/>
      <c r="L71" s="2192"/>
      <c r="M71" s="2192"/>
      <c r="N71" s="2192"/>
      <c r="O71" s="2192"/>
      <c r="P71" s="5"/>
      <c r="Q71" s="5"/>
      <c r="X71" s="3"/>
      <c r="Y71" s="5"/>
      <c r="Z71" s="5"/>
      <c r="AA71" s="5"/>
      <c r="AB71" s="3"/>
      <c r="AC71" s="1140"/>
      <c r="AY71" s="350"/>
      <c r="AZ71" s="350"/>
      <c r="BA71" s="350"/>
      <c r="BB71" s="350"/>
      <c r="CA71" s="5"/>
      <c r="CB71" s="5"/>
      <c r="CC71" s="5"/>
      <c r="CD71" s="5"/>
      <c r="CE71" s="5"/>
      <c r="CF71" s="5"/>
      <c r="CG71" s="5"/>
      <c r="CH71" s="5"/>
      <c r="CI71" s="5"/>
      <c r="CJ71" s="5"/>
      <c r="CK71" s="5"/>
      <c r="CL71" s="5"/>
      <c r="CM71" s="5"/>
      <c r="CN71" s="5"/>
      <c r="CO71" s="5"/>
      <c r="CP71" s="5"/>
      <c r="CQ71" s="5"/>
      <c r="CR71" s="5"/>
      <c r="CS71" s="5"/>
      <c r="CT71" s="5"/>
      <c r="CU71" s="5"/>
      <c r="CV71" s="5"/>
      <c r="CW71" s="5"/>
      <c r="CX71" s="5"/>
      <c r="CY71" s="5"/>
      <c r="DK71" s="5"/>
      <c r="DL71" s="5"/>
      <c r="DM71" s="5"/>
      <c r="DN71" s="5"/>
      <c r="DR71" s="346"/>
    </row>
    <row r="72" spans="1:124" s="800" customFormat="1" ht="15" customHeight="1">
      <c r="A72" s="2402" t="s">
        <v>399</v>
      </c>
      <c r="B72" s="2402"/>
      <c r="C72" s="2402" t="s">
        <v>215</v>
      </c>
      <c r="D72" s="2402"/>
      <c r="E72" s="2402"/>
      <c r="F72" s="2403" t="s">
        <v>354</v>
      </c>
      <c r="G72" s="2402"/>
      <c r="H72" s="2402"/>
      <c r="I72" s="2402"/>
      <c r="J72" s="2402"/>
      <c r="K72" s="2402"/>
      <c r="L72" s="2402"/>
      <c r="M72" s="2402"/>
      <c r="N72" s="2402"/>
      <c r="O72" s="2402"/>
      <c r="P72" s="2402"/>
      <c r="Q72" s="2402"/>
      <c r="R72" s="2402"/>
      <c r="S72" s="2402"/>
      <c r="T72" s="2402"/>
      <c r="U72" s="2402"/>
      <c r="V72" s="2402"/>
      <c r="W72" s="2402"/>
      <c r="X72" s="2402"/>
      <c r="Y72" s="2402"/>
      <c r="Z72" s="2402"/>
      <c r="AA72" s="2402"/>
      <c r="AB72" s="2402"/>
      <c r="AC72" s="2402"/>
      <c r="AD72" s="2402"/>
      <c r="AE72" s="2402"/>
      <c r="AF72" s="2402"/>
      <c r="AG72" s="2402"/>
      <c r="AH72" s="2402"/>
      <c r="AI72" s="2402"/>
      <c r="AJ72" s="2402"/>
      <c r="AK72" s="2402"/>
      <c r="AL72" s="2402"/>
      <c r="AM72" s="2404"/>
      <c r="AN72" s="2193" t="s">
        <v>571</v>
      </c>
      <c r="AO72" s="2196" t="s">
        <v>572</v>
      </c>
      <c r="AP72" s="2193" t="s">
        <v>7</v>
      </c>
      <c r="AQ72" s="2198"/>
      <c r="AR72" s="1726" t="s">
        <v>261</v>
      </c>
      <c r="AS72" s="1727"/>
      <c r="AT72" s="2201" t="s">
        <v>656</v>
      </c>
      <c r="AU72" s="1727" t="s">
        <v>343</v>
      </c>
      <c r="AV72" s="2184" t="s">
        <v>574</v>
      </c>
      <c r="AW72" s="2425" t="s">
        <v>581</v>
      </c>
      <c r="AX72" s="2425"/>
      <c r="AY72" s="350"/>
      <c r="AZ72" s="350"/>
      <c r="BA72" s="350"/>
      <c r="BB72" s="350"/>
      <c r="CA72" s="5"/>
      <c r="CB72" s="5"/>
      <c r="CC72" s="5"/>
      <c r="CD72" s="5"/>
      <c r="CE72" s="5"/>
      <c r="CF72" s="5"/>
      <c r="CG72" s="5"/>
      <c r="CH72" s="5"/>
      <c r="CI72" s="5"/>
      <c r="CJ72" s="5"/>
      <c r="CK72" s="5"/>
      <c r="CL72" s="5"/>
      <c r="CM72" s="5"/>
      <c r="CN72" s="5"/>
      <c r="CO72" s="5"/>
      <c r="CP72" s="5"/>
      <c r="CQ72" s="5"/>
      <c r="CR72" s="5"/>
      <c r="CS72" s="5"/>
      <c r="CT72" s="5"/>
      <c r="CU72" s="5"/>
      <c r="CV72" s="5"/>
      <c r="CW72" s="5"/>
      <c r="CX72" s="5"/>
      <c r="CY72" s="5"/>
      <c r="DK72" s="5"/>
      <c r="DL72" s="5"/>
      <c r="DM72" s="5"/>
      <c r="DN72" s="5"/>
      <c r="DR72" s="346"/>
    </row>
    <row r="73" spans="1:124" s="800" customFormat="1" ht="15" customHeight="1">
      <c r="A73" s="2402"/>
      <c r="B73" s="2402"/>
      <c r="C73" s="2402"/>
      <c r="D73" s="2402"/>
      <c r="E73" s="2402"/>
      <c r="F73" s="2187" t="s">
        <v>356</v>
      </c>
      <c r="G73" s="2404"/>
      <c r="H73" s="2402" t="s">
        <v>357</v>
      </c>
      <c r="I73" s="2404"/>
      <c r="J73" s="2060" t="s">
        <v>264</v>
      </c>
      <c r="K73" s="2061"/>
      <c r="L73" s="2060" t="s">
        <v>13</v>
      </c>
      <c r="M73" s="2061"/>
      <c r="N73" s="2060" t="s">
        <v>14</v>
      </c>
      <c r="O73" s="2061"/>
      <c r="P73" s="2060" t="s">
        <v>15</v>
      </c>
      <c r="Q73" s="2061"/>
      <c r="R73" s="2060" t="s">
        <v>16</v>
      </c>
      <c r="S73" s="2061"/>
      <c r="T73" s="2060" t="s">
        <v>17</v>
      </c>
      <c r="U73" s="2061"/>
      <c r="V73" s="2060" t="s">
        <v>18</v>
      </c>
      <c r="W73" s="2061"/>
      <c r="X73" s="2060" t="s">
        <v>19</v>
      </c>
      <c r="Y73" s="2061"/>
      <c r="Z73" s="2060" t="s">
        <v>20</v>
      </c>
      <c r="AA73" s="2061"/>
      <c r="AB73" s="2060" t="s">
        <v>21</v>
      </c>
      <c r="AC73" s="2061"/>
      <c r="AD73" s="2060" t="s">
        <v>22</v>
      </c>
      <c r="AE73" s="2061"/>
      <c r="AF73" s="2082" t="s">
        <v>23</v>
      </c>
      <c r="AG73" s="2083"/>
      <c r="AH73" s="2082" t="s">
        <v>358</v>
      </c>
      <c r="AI73" s="2083"/>
      <c r="AJ73" s="2082" t="s">
        <v>359</v>
      </c>
      <c r="AK73" s="2083"/>
      <c r="AL73" s="2405" t="s">
        <v>360</v>
      </c>
      <c r="AM73" s="2406"/>
      <c r="AN73" s="2194"/>
      <c r="AO73" s="2197"/>
      <c r="AP73" s="2195"/>
      <c r="AQ73" s="2199"/>
      <c r="AR73" s="2200"/>
      <c r="AS73" s="2189"/>
      <c r="AT73" s="2202"/>
      <c r="AU73" s="2188"/>
      <c r="AV73" s="2185"/>
      <c r="AW73" s="2425"/>
      <c r="AX73" s="2425"/>
      <c r="AY73" s="350"/>
      <c r="AZ73" s="350"/>
      <c r="BA73" s="350"/>
      <c r="BB73" s="350"/>
      <c r="CA73" s="1624"/>
      <c r="CB73" s="1624"/>
      <c r="CC73" s="1624"/>
      <c r="CD73" s="1624"/>
      <c r="CE73" s="1624"/>
      <c r="CF73" s="1624"/>
      <c r="CG73" s="1624"/>
      <c r="CH73" s="1624"/>
      <c r="CI73" s="1634"/>
      <c r="CJ73" s="1624"/>
      <c r="CK73" s="1624"/>
      <c r="CL73" s="5"/>
      <c r="CM73" s="1624"/>
      <c r="CN73" s="1624"/>
      <c r="CO73" s="1624"/>
      <c r="CP73" s="1624"/>
      <c r="CQ73" s="1624"/>
      <c r="CR73" s="1624"/>
      <c r="CS73" s="1624"/>
      <c r="CT73" s="1624"/>
      <c r="CU73" s="1624"/>
      <c r="CV73" s="1624"/>
      <c r="CW73" s="1624"/>
      <c r="CX73" s="1624"/>
      <c r="CY73" s="5"/>
      <c r="DK73" s="1624"/>
      <c r="DL73" s="1624"/>
      <c r="DM73" s="1624"/>
      <c r="DN73" s="1624"/>
      <c r="DO73" s="1624"/>
      <c r="DP73" s="1624"/>
      <c r="DQ73" s="1624"/>
      <c r="DR73" s="1624"/>
      <c r="DS73" s="1624"/>
      <c r="DT73" s="2049"/>
    </row>
    <row r="74" spans="1:124" s="800" customFormat="1" ht="15" customHeight="1">
      <c r="A74" s="2402"/>
      <c r="B74" s="2402"/>
      <c r="C74" s="1203" t="s">
        <v>178</v>
      </c>
      <c r="D74" s="1204" t="s">
        <v>42</v>
      </c>
      <c r="E74" s="1205" t="s">
        <v>179</v>
      </c>
      <c r="F74" s="1206" t="s">
        <v>42</v>
      </c>
      <c r="G74" s="1205" t="s">
        <v>179</v>
      </c>
      <c r="H74" s="1206" t="s">
        <v>42</v>
      </c>
      <c r="I74" s="1205" t="s">
        <v>179</v>
      </c>
      <c r="J74" s="1206" t="s">
        <v>42</v>
      </c>
      <c r="K74" s="1205" t="s">
        <v>179</v>
      </c>
      <c r="L74" s="1206" t="s">
        <v>42</v>
      </c>
      <c r="M74" s="1205" t="s">
        <v>179</v>
      </c>
      <c r="N74" s="1206" t="s">
        <v>42</v>
      </c>
      <c r="O74" s="1205" t="s">
        <v>179</v>
      </c>
      <c r="P74" s="1206" t="s">
        <v>42</v>
      </c>
      <c r="Q74" s="1205" t="s">
        <v>179</v>
      </c>
      <c r="R74" s="1206" t="s">
        <v>42</v>
      </c>
      <c r="S74" s="1205" t="s">
        <v>179</v>
      </c>
      <c r="T74" s="1206" t="s">
        <v>42</v>
      </c>
      <c r="U74" s="1205" t="s">
        <v>179</v>
      </c>
      <c r="V74" s="1206" t="s">
        <v>42</v>
      </c>
      <c r="W74" s="1205" t="s">
        <v>179</v>
      </c>
      <c r="X74" s="1206" t="s">
        <v>42</v>
      </c>
      <c r="Y74" s="1205" t="s">
        <v>179</v>
      </c>
      <c r="Z74" s="1206" t="s">
        <v>42</v>
      </c>
      <c r="AA74" s="1205" t="s">
        <v>179</v>
      </c>
      <c r="AB74" s="1206" t="s">
        <v>42</v>
      </c>
      <c r="AC74" s="1205" t="s">
        <v>179</v>
      </c>
      <c r="AD74" s="1206" t="s">
        <v>42</v>
      </c>
      <c r="AE74" s="1205" t="s">
        <v>179</v>
      </c>
      <c r="AF74" s="1207" t="s">
        <v>362</v>
      </c>
      <c r="AG74" s="1208" t="s">
        <v>179</v>
      </c>
      <c r="AH74" s="1207" t="s">
        <v>362</v>
      </c>
      <c r="AI74" s="1208" t="s">
        <v>179</v>
      </c>
      <c r="AJ74" s="1207" t="s">
        <v>362</v>
      </c>
      <c r="AK74" s="1208" t="s">
        <v>179</v>
      </c>
      <c r="AL74" s="1209" t="s">
        <v>42</v>
      </c>
      <c r="AM74" s="1210" t="s">
        <v>179</v>
      </c>
      <c r="AN74" s="2195"/>
      <c r="AO74" s="1883"/>
      <c r="AP74" s="1211" t="s">
        <v>42</v>
      </c>
      <c r="AQ74" s="1630" t="s">
        <v>179</v>
      </c>
      <c r="AR74" s="2408" t="s">
        <v>42</v>
      </c>
      <c r="AS74" s="1630" t="s">
        <v>179</v>
      </c>
      <c r="AT74" s="2203"/>
      <c r="AU74" s="2189"/>
      <c r="AV74" s="2186"/>
      <c r="AW74" s="1264" t="s">
        <v>582</v>
      </c>
      <c r="AX74" s="1264" t="s">
        <v>583</v>
      </c>
      <c r="AY74" s="350"/>
      <c r="AZ74" s="5"/>
      <c r="BA74" s="350"/>
      <c r="BB74" s="350"/>
      <c r="CA74" s="1624"/>
      <c r="CB74" s="1624"/>
      <c r="CC74" s="20"/>
      <c r="CD74" s="20"/>
      <c r="CE74" s="20"/>
      <c r="CF74" s="20"/>
      <c r="CG74" s="1624"/>
      <c r="CH74" s="1624"/>
      <c r="CI74" s="1634"/>
      <c r="CJ74" s="20"/>
      <c r="CK74" s="20"/>
      <c r="CL74" s="5"/>
      <c r="CM74" s="20"/>
      <c r="CN74" s="1624"/>
      <c r="CO74" s="1624"/>
      <c r="CP74" s="20"/>
      <c r="CQ74" s="20"/>
      <c r="CR74" s="20"/>
      <c r="CS74" s="20"/>
      <c r="CT74" s="1624"/>
      <c r="CU74" s="1624"/>
      <c r="CV74" s="1624"/>
      <c r="CW74" s="20"/>
      <c r="CX74" s="20"/>
      <c r="CY74" s="5"/>
      <c r="DK74" s="20"/>
      <c r="DL74" s="20"/>
      <c r="DM74" s="20"/>
      <c r="DN74" s="20"/>
      <c r="DO74" s="20"/>
      <c r="DP74" s="20"/>
      <c r="DQ74" s="20"/>
      <c r="DR74" s="1624"/>
      <c r="DS74" s="1624"/>
      <c r="DT74" s="2049"/>
    </row>
    <row r="75" spans="1:124" s="800" customFormat="1" ht="15" customHeight="1">
      <c r="A75" s="2426" t="s">
        <v>640</v>
      </c>
      <c r="B75" s="2182"/>
      <c r="C75" s="2412">
        <f>SUM(D75:E75)</f>
        <v>0</v>
      </c>
      <c r="D75" s="1638">
        <f>+F75+H75+J75+L75+N75+P75+R75+T75+V75+X75+Z75+AB75+AD75+AF75+AH75+AJ75+AL75</f>
        <v>0</v>
      </c>
      <c r="E75" s="951">
        <f>+G75+I75+K75+M75+O75+Q75+S75+U75+W75+Y75+AA75+AC75+AE75+AG75+AI75+AK75+AM75</f>
        <v>0</v>
      </c>
      <c r="F75" s="1116"/>
      <c r="G75" s="1117"/>
      <c r="H75" s="1116"/>
      <c r="I75" s="1118"/>
      <c r="J75" s="1116"/>
      <c r="K75" s="1117"/>
      <c r="L75" s="1116"/>
      <c r="M75" s="1118"/>
      <c r="N75" s="1116"/>
      <c r="O75" s="1117"/>
      <c r="P75" s="1116"/>
      <c r="Q75" s="1118"/>
      <c r="R75" s="1116"/>
      <c r="S75" s="1117"/>
      <c r="T75" s="1116"/>
      <c r="U75" s="1118"/>
      <c r="V75" s="1116"/>
      <c r="W75" s="1117"/>
      <c r="X75" s="1116"/>
      <c r="Y75" s="1118"/>
      <c r="Z75" s="1116"/>
      <c r="AA75" s="1117"/>
      <c r="AB75" s="1116"/>
      <c r="AC75" s="1118"/>
      <c r="AD75" s="1116"/>
      <c r="AE75" s="1117"/>
      <c r="AF75" s="1116"/>
      <c r="AG75" s="1118"/>
      <c r="AH75" s="1116"/>
      <c r="AI75" s="1117"/>
      <c r="AJ75" s="1116"/>
      <c r="AK75" s="1118"/>
      <c r="AL75" s="1116"/>
      <c r="AM75" s="1117"/>
      <c r="AN75" s="1212"/>
      <c r="AO75" s="2414"/>
      <c r="AP75" s="2427"/>
      <c r="AQ75" s="1118"/>
      <c r="AR75" s="2413"/>
      <c r="AS75" s="1118"/>
      <c r="AT75" s="1118"/>
      <c r="AU75" s="1118"/>
      <c r="AV75" s="1118"/>
      <c r="AW75" s="1118"/>
      <c r="AX75" s="1118"/>
      <c r="AY75" s="1121" t="str">
        <f>$CA75&amp;CB75&amp;CC75&amp;CD75&amp;CE75&amp;CF75&amp;CG75&amp;CH75&amp;CI75&amp;CJ75&amp;CK75</f>
        <v/>
      </c>
      <c r="AZ75" s="350"/>
      <c r="BA75" s="350"/>
      <c r="BB75" s="350"/>
      <c r="CA75" s="142" t="str">
        <f>IF(AND(E75&gt;0,OR(AN75=""))," * No olvide digitar la variable Gestantes. Digite Cero si no tiene.",IF(AN75&gt;E75," * La variable Gestantes no puede ser Mayor al Total Mujeres.",""))</f>
        <v/>
      </c>
      <c r="CB75" s="142" t="str">
        <f>IF(AND(E75&gt;0,OR(AO75=""))," * No olvide digitar la variable Madre de hijo menor de 5 años. Digite Cero si no tiene.",IF(AO75&gt;E75," * La variable Madre de hijo menor de 5 años no puede ser Mayor al Total Mujeres.",""))</f>
        <v/>
      </c>
      <c r="CC75" s="142" t="str">
        <f>IF(AND(D75&gt;0,OR(AP75=""))," * No olvide digitar la variable Pueblos Originarios Hombres. Digite Cero si no tiene.",IF(AP75&gt;D75," * La variable Pueblos Originarios Hombres no puede ser Mayor al Total Hombres.",""))</f>
        <v/>
      </c>
      <c r="CD75" s="142" t="str">
        <f>IF(AND(E75&gt;0,OR(AQ75=""))," * No olvide digitar la variable Pueblos Originarios Mujeres. Digite Cero si no tiene.",IF(AQ75&gt;E75," * La variable Pueblos Originarios Mujeres no puede ser Mayor al Total Mujeres.",""))</f>
        <v/>
      </c>
      <c r="CE75" s="142" t="str">
        <f>IF(AND($D75&gt;0,OR(AR75=""))," * No olvide digitar la variable Migrantes Hombres. Digite Cero si no tiene.",IF(AR75&gt;$D75," * La variable Migrantes Hombres no puede ser Mayor al Total Hombres.",""))</f>
        <v/>
      </c>
      <c r="CF75" s="142" t="str">
        <f>IF(AND($E75&gt;0,OR(AS75=""))," * No olvide digitar la variable Migrantes Mujeres. Digite Cero si no tiene.",IF(AS75&gt;$E75," * La variable Migrantes Mujeres no puede ser Mayor al Total Mujeres.",""))</f>
        <v/>
      </c>
      <c r="CG75" s="142" t="str">
        <f>IF(AND($C75&gt;0,OR(AT75=""))," * No olvide digitar la variable Niños, Niñas, Adolescentes y Jóvenes SENAME. Digite Cero si no tiene.",IF(AT75&gt;$C75," * La variable Niños, Niñas, Adolescentes y Jóvenes SENAME no puede ser Mayor al Total ambos sexos.",""))</f>
        <v/>
      </c>
      <c r="CH75" s="142" t="str">
        <f>IF(AND($C75&gt;0,OR(AU75=""))," * No olvide digitar la variable Niños y niñas Mejor Niñez. Digite Cero si no tiene.",IF(AU75&gt;$C75," * La variable Niños y niñas Mejor Niñez no puede ser Mayor al Total ambos sexos.",""))</f>
        <v/>
      </c>
      <c r="CI75" s="142" t="str">
        <f>IF(AND(C75&gt;0,OR(AV75=""))," * No olvide digitar la variable Plan Cuidado Integral Elaborado. Digite Cero si no tiene.",IF($AV75&gt;$C75,"* La variable Plan Cuidado Integral Elaborado debe ser menor o igual al Total de Personas en control. ",""))</f>
        <v/>
      </c>
      <c r="CJ75" s="142" t="str">
        <f>IF(AND(E75&gt;0,OR(AW75=""))," * No olvide digitar la variable Trans Masculino. (Digite Cero si no tiene).",IF(AW75&gt;E75," * La variable Trans Masculino no debe ser mayor al Total Mujeres.",""))</f>
        <v/>
      </c>
      <c r="CK75" s="142" t="str">
        <f>IF(AND(D75&gt;0,OR(AX75=""))," * No olvide digitar la variable Trans Femenino. (Digite Cero si no tiene).",IF(AX75&gt;D75," * La variable Trans Femenino no debe ser mayor al Total Hombre.",""))</f>
        <v/>
      </c>
      <c r="CL75" s="5"/>
      <c r="CM75" s="5"/>
      <c r="CN75" s="34">
        <f>IF(AND($E75&gt;0,OR(AN75="")),1,IF(AN75&gt;$E75,1,0))</f>
        <v>0</v>
      </c>
      <c r="CO75" s="34">
        <f>IF(AND($E75&gt;0,OR(AO75="")),1,IF(AO75&gt;$E75,1,0))</f>
        <v>0</v>
      </c>
      <c r="CP75" s="34">
        <f>IF(AND($D75&gt;0,OR(AP75="")),1,IF(AP75&gt;$D75,1,0))</f>
        <v>0</v>
      </c>
      <c r="CQ75" s="34">
        <f>IF(AND($E75&gt;0,OR(AQ75="")),1,IF(AQ75&gt;$E75,1,0))</f>
        <v>0</v>
      </c>
      <c r="CR75" s="34">
        <f>IF(AND($D75&gt;0,OR(AR75="")),1,IF(AR75&gt;$D75,1,0))</f>
        <v>0</v>
      </c>
      <c r="CS75" s="34">
        <f>IF(AND($E75&gt;0,OR(AS75="")),1,IF(AS75&gt;$E75,1,0))</f>
        <v>0</v>
      </c>
      <c r="CT75" s="34">
        <f>IF(AND($C75&gt;0,OR(AT75="")),1,IF(AT75&gt;$C75,1,0))</f>
        <v>0</v>
      </c>
      <c r="CU75" s="34">
        <f>IF(AND($C75&gt;0,OR(AU75="")),1,IF(AU75&gt;$C75,1,0))</f>
        <v>0</v>
      </c>
      <c r="CV75" s="34">
        <f>IF(AND($C75&gt;0,OR(AV75="")),1,IF(AV75&gt;$C75,1,0))</f>
        <v>0</v>
      </c>
      <c r="CW75" s="34">
        <f>IF(AND(E75&gt;0,OR(AW75="")),1,IF(AW75&gt;$E75,1,0))</f>
        <v>0</v>
      </c>
      <c r="CX75" s="34">
        <f>IF(AND(D75&gt;0,OR(AX75="")),1,IF(AX75&gt;$D75,1,0))</f>
        <v>0</v>
      </c>
      <c r="CY75" s="5"/>
      <c r="DK75" s="5"/>
      <c r="DL75" s="5"/>
      <c r="DM75" s="5"/>
      <c r="DN75" s="5"/>
      <c r="DO75" s="5"/>
      <c r="DP75" s="5"/>
      <c r="DQ75" s="5"/>
      <c r="DR75" s="5"/>
      <c r="DS75" s="5"/>
      <c r="DT75" s="5"/>
    </row>
    <row r="76" spans="1:124" s="800" customFormat="1" ht="15" customHeight="1">
      <c r="A76" s="2428" t="s">
        <v>585</v>
      </c>
      <c r="B76" s="2429"/>
      <c r="C76" s="1258"/>
      <c r="D76" s="921"/>
      <c r="E76" s="1213"/>
      <c r="F76" s="701"/>
      <c r="G76" s="702"/>
      <c r="H76" s="701"/>
      <c r="I76" s="702"/>
      <c r="J76" s="701"/>
      <c r="K76" s="702"/>
      <c r="L76" s="701"/>
      <c r="M76" s="702"/>
      <c r="N76" s="701"/>
      <c r="O76" s="702"/>
      <c r="P76" s="701"/>
      <c r="Q76" s="702"/>
      <c r="R76" s="701"/>
      <c r="S76" s="702"/>
      <c r="T76" s="701"/>
      <c r="U76" s="702"/>
      <c r="V76" s="701"/>
      <c r="W76" s="702"/>
      <c r="X76" s="701"/>
      <c r="Y76" s="702"/>
      <c r="Z76" s="701"/>
      <c r="AA76" s="702"/>
      <c r="AB76" s="701"/>
      <c r="AC76" s="702"/>
      <c r="AD76" s="701"/>
      <c r="AE76" s="702"/>
      <c r="AF76" s="701"/>
      <c r="AG76" s="702"/>
      <c r="AH76" s="701"/>
      <c r="AI76" s="702"/>
      <c r="AJ76" s="701"/>
      <c r="AK76" s="702"/>
      <c r="AL76" s="701"/>
      <c r="AM76" s="1213"/>
      <c r="AN76" s="1214"/>
      <c r="AO76" s="1165"/>
      <c r="AP76" s="701"/>
      <c r="AQ76" s="843"/>
      <c r="AR76" s="921"/>
      <c r="AS76" s="702"/>
      <c r="AT76" s="702"/>
      <c r="AU76" s="702"/>
      <c r="AV76" s="702"/>
      <c r="AW76" s="702"/>
      <c r="AX76" s="702"/>
      <c r="AY76" s="1121"/>
      <c r="AZ76" s="350"/>
      <c r="BA76" s="350"/>
      <c r="BB76" s="350"/>
      <c r="CA76" s="35"/>
      <c r="CB76" s="35"/>
      <c r="CC76" s="35"/>
      <c r="CD76" s="35"/>
      <c r="CE76" s="35"/>
      <c r="CF76" s="35"/>
      <c r="CG76" s="35"/>
      <c r="CH76" s="35"/>
      <c r="CI76" s="1123"/>
      <c r="CJ76" s="35"/>
      <c r="CK76" s="35"/>
      <c r="CL76" s="5"/>
      <c r="CM76" s="5"/>
      <c r="CN76" s="35"/>
      <c r="CO76" s="35"/>
      <c r="CP76" s="35"/>
      <c r="CQ76" s="35"/>
      <c r="CR76" s="35"/>
      <c r="CS76" s="35"/>
      <c r="CT76" s="35"/>
      <c r="CU76" s="35"/>
      <c r="CV76" s="35"/>
      <c r="CW76" s="35"/>
      <c r="CX76" s="35"/>
      <c r="CY76" s="5"/>
      <c r="DK76" s="5"/>
      <c r="DL76" s="5"/>
      <c r="DM76" s="5"/>
      <c r="DN76" s="5"/>
      <c r="DO76" s="5"/>
      <c r="DP76" s="5"/>
      <c r="DQ76" s="5"/>
    </row>
    <row r="77" spans="1:124" s="800" customFormat="1" ht="15" customHeight="1">
      <c r="A77" s="2440" t="s">
        <v>641</v>
      </c>
      <c r="B77" s="2436" t="s">
        <v>587</v>
      </c>
      <c r="C77" s="781">
        <f t="shared" ref="C77:C80" si="55">SUM(D77:E77)</f>
        <v>0</v>
      </c>
      <c r="D77" s="697">
        <f t="shared" ref="D77:E89" si="56">+F77+H77+J77+L77+N77+P77+R77+T77+V77+X77+Z77+AB77+AD77+AF77+AH77+AJ77+AL77</f>
        <v>0</v>
      </c>
      <c r="E77" s="1137">
        <f t="shared" si="56"/>
        <v>0</v>
      </c>
      <c r="F77" s="699"/>
      <c r="G77" s="700"/>
      <c r="H77" s="699"/>
      <c r="I77" s="700"/>
      <c r="J77" s="699"/>
      <c r="K77" s="700"/>
      <c r="L77" s="699"/>
      <c r="M77" s="700"/>
      <c r="N77" s="699"/>
      <c r="O77" s="700"/>
      <c r="P77" s="699"/>
      <c r="Q77" s="700"/>
      <c r="R77" s="699"/>
      <c r="S77" s="700"/>
      <c r="T77" s="699"/>
      <c r="U77" s="700"/>
      <c r="V77" s="699"/>
      <c r="W77" s="700"/>
      <c r="X77" s="699"/>
      <c r="Y77" s="700"/>
      <c r="Z77" s="699"/>
      <c r="AA77" s="700"/>
      <c r="AB77" s="699"/>
      <c r="AC77" s="700"/>
      <c r="AD77" s="699"/>
      <c r="AE77" s="700"/>
      <c r="AF77" s="699"/>
      <c r="AG77" s="700"/>
      <c r="AH77" s="699"/>
      <c r="AI77" s="700"/>
      <c r="AJ77" s="699"/>
      <c r="AK77" s="700"/>
      <c r="AL77" s="699"/>
      <c r="AM77" s="1216"/>
      <c r="AN77" s="1217"/>
      <c r="AO77" s="1127"/>
      <c r="AP77" s="699"/>
      <c r="AQ77" s="783"/>
      <c r="AR77" s="784"/>
      <c r="AS77" s="700"/>
      <c r="AT77" s="700"/>
      <c r="AU77" s="700"/>
      <c r="AV77" s="700"/>
      <c r="AW77" s="700"/>
      <c r="AX77" s="700"/>
      <c r="AY77" s="1121" t="str">
        <f t="shared" ref="AY77:AY120" si="57">$CA77&amp;CB77&amp;CC77&amp;CD77&amp;CE77&amp;CF77&amp;CG77&amp;CH77&amp;CI77&amp;CJ77&amp;CK77</f>
        <v/>
      </c>
      <c r="AZ77" s="350"/>
      <c r="BA77" s="350"/>
      <c r="BB77" s="350"/>
      <c r="CA77" s="142" t="str">
        <f t="shared" ref="CA77:CA89" si="58">IF(AND(E77&gt;0,OR(AN77=""))," * No olvide digitar la variable Gestantes. Digite Cero si no tiene.",IF(AN77&gt;E77," * La variable Gestantes no puede ser Mayor al Total Mujeres.",""))</f>
        <v/>
      </c>
      <c r="CB77" s="142" t="str">
        <f t="shared" ref="CB77:CB96" si="59">IF(AND(E77&gt;0,OR(AO77=""))," * No olvide digitar la variable Madre de hijo menor de 5 años. Digite Cero si no tiene.",IF(AO77&gt;E77," * La variable Madre de hijo menor de 5 años no puede ser Mayor al Total Mujeres.",""))</f>
        <v/>
      </c>
      <c r="CC77" s="142" t="str">
        <f t="shared" ref="CC77:CC89" si="60">IF(AND(D77&gt;0,OR(AP77=""))," * No olvide digitar la variable Pueblos Originarios Hombres. Digite Cero si no tiene.",IF(AP77&gt;D77," * La variable Pueblos Originarios Hombres no puede ser Mayor al Total Hombres.",""))</f>
        <v/>
      </c>
      <c r="CD77" s="142" t="str">
        <f t="shared" ref="CD77:CD88" si="61">IF(AND(E77&gt;0,OR(AQ77=""))," * No olvide digitar la variable Pueblos Originarios Mujeres. Digite Cero si no tiene.",IF(AQ77&gt;E77," * La variable Pueblos Originarios Mujeres no puede ser Mayor al Total Mujeres.",""))</f>
        <v/>
      </c>
      <c r="CE77" s="142" t="str">
        <f t="shared" ref="CE77:CE89" si="62">IF(AND($D77&gt;0,OR(AR77=""))," * No olvide digitar la variable Migrantes Hombres. Digite Cero si no tiene.",IF(AR77&gt;$D77," * La variable Migrantes Hombres no puede ser Mayor al Total Hombres.",""))</f>
        <v/>
      </c>
      <c r="CF77" s="142" t="str">
        <f t="shared" ref="CF77:CF89" si="63">IF(AND($E77&gt;0,OR(AS77=""))," * No olvide digitar la variable Migrantes Mujeres. Digite Cero si no tiene.",IF(AS77&gt;$E77," * La variable Migrantes Mujeres no puede ser Mayor al Total Mujeres.",""))</f>
        <v/>
      </c>
      <c r="CG77" s="142" t="str">
        <f>IF(AND($C77&gt;0,OR(AT77=""))," * No olvide digitar la variable Niños, Niñas, Adolescentes y Jóvenes SENAME. Digite Cero si no tiene.",IF(AT77&gt;$C77," * La variable Niños, Niñas, Adolescentes y Jóvenes SENAME no puede ser Mayor al Total ambos sexos.",""))</f>
        <v/>
      </c>
      <c r="CH77" s="142" t="str">
        <f>IF(AND($C77&gt;0,OR(AU77=""))," * No olvide digitar la variable Niños y niñas Mejor Niñez. Digite Cero si no tiene.",IF(AU77&gt;$C77," * La variable Niños y niñas Mejor Niñez no puede ser Mayor al Total ambos sexos.",""))</f>
        <v/>
      </c>
      <c r="CI77" s="142" t="str">
        <f t="shared" ref="CI77:CI89" si="64">IF(AND(C77&gt;0,OR(AV77=""))," * No olvide digitar la variable Plan Cuidado Integral Elaborado. Digite Cero si no tiene.",IF($AV77&gt;$C77,"* La variable Plan Cuidado Integral Elaborado debe ser menor o igual al Total de Personas en control. ",""))</f>
        <v/>
      </c>
      <c r="CJ77" s="142" t="str">
        <f>IF(AND(E77&gt;0,OR(AW77=""))," * No olvide digitar la variable Trans Masculino. (Digite Cero si no tiene).",IF(AW77&gt;E77," * La variable Trans Masculino no debe ser mayor al Total Mujeres.",""))</f>
        <v/>
      </c>
      <c r="CK77" s="142" t="str">
        <f t="shared" ref="CK77:CK89" si="65">IF(AND(D77&gt;0,OR(AX77=""))," * No olvide digitar la variable Trans Femenino. (Digite Cero si no tiene).",IF(AX77&gt;D77," * La variable Trans Femenino no debe ser mayor al Total Hombre.",""))</f>
        <v/>
      </c>
      <c r="CL77" s="5"/>
      <c r="CM77" s="5"/>
      <c r="CN77" s="34">
        <f t="shared" ref="CN77:CO92" si="66">IF(AND($E77&gt;0,OR(AN77="")),1,IF(AN77&gt;$E77,1,0))</f>
        <v>0</v>
      </c>
      <c r="CO77" s="34">
        <f t="shared" si="66"/>
        <v>0</v>
      </c>
      <c r="CP77" s="34">
        <f t="shared" ref="CP77:CP89" si="67">IF(AND($D77&gt;0,OR(AP77="")),1,IF(AP77&gt;$D77,1,0))</f>
        <v>0</v>
      </c>
      <c r="CQ77" s="34">
        <f t="shared" ref="CQ77:CQ100" si="68">IF(AND($E77&gt;0,OR(AQ77="")),1,IF(AQ77&gt;$E77,1,0))</f>
        <v>0</v>
      </c>
      <c r="CR77" s="34">
        <f t="shared" ref="CR77:CR89" si="69">IF(AND($D77&gt;0,OR(AR77="")),1,IF(AR77&gt;$D77,1,0))</f>
        <v>0</v>
      </c>
      <c r="CS77" s="34">
        <f t="shared" ref="CS77:CS100" si="70">IF(AND($E77&gt;0,OR(AS77="")),1,IF(AS77&gt;$E77,1,0))</f>
        <v>0</v>
      </c>
      <c r="CT77" s="34">
        <f t="shared" ref="CT77:CV96" si="71">IF(AND($C77&gt;0,OR(AT77="")),1,IF(AT77&gt;$C77,1,0))</f>
        <v>0</v>
      </c>
      <c r="CU77" s="34">
        <f t="shared" si="71"/>
        <v>0</v>
      </c>
      <c r="CV77" s="34">
        <f t="shared" si="71"/>
        <v>0</v>
      </c>
      <c r="CW77" s="34">
        <f t="shared" ref="CW77:CW120" si="72">IF(AND(E77&gt;0,OR(AW77="")),1,IF(AW77&gt;$E77,1,0))</f>
        <v>0</v>
      </c>
      <c r="CX77" s="34">
        <f t="shared" ref="CX77:CX89" si="73">IF(AND(D77&gt;0,OR(AX77="")),1,IF(AX77&gt;$D77,1,0))</f>
        <v>0</v>
      </c>
      <c r="CY77" s="5"/>
      <c r="DK77" s="5"/>
      <c r="DL77" s="5"/>
      <c r="DM77" s="5"/>
      <c r="DN77" s="5"/>
      <c r="DO77" s="5"/>
      <c r="DP77" s="5"/>
      <c r="DQ77" s="5"/>
    </row>
    <row r="78" spans="1:124" s="800" customFormat="1" ht="15" customHeight="1">
      <c r="A78" s="2441"/>
      <c r="B78" s="2438" t="s">
        <v>588</v>
      </c>
      <c r="C78" s="842">
        <f t="shared" si="55"/>
        <v>0</v>
      </c>
      <c r="D78" s="740">
        <f t="shared" si="56"/>
        <v>0</v>
      </c>
      <c r="E78" s="1125">
        <f>+G78+I78+K78+M78+O78+Q78+S78+U78+W78+Y78+AA78+AC78+AE78+AG78+AI78+AK78+AM78</f>
        <v>0</v>
      </c>
      <c r="F78" s="751"/>
      <c r="G78" s="752"/>
      <c r="H78" s="751"/>
      <c r="I78" s="752"/>
      <c r="J78" s="751"/>
      <c r="K78" s="752"/>
      <c r="L78" s="751"/>
      <c r="M78" s="752"/>
      <c r="N78" s="751"/>
      <c r="O78" s="752"/>
      <c r="P78" s="751"/>
      <c r="Q78" s="752"/>
      <c r="R78" s="751"/>
      <c r="S78" s="752"/>
      <c r="T78" s="751"/>
      <c r="U78" s="752"/>
      <c r="V78" s="751"/>
      <c r="W78" s="752"/>
      <c r="X78" s="751"/>
      <c r="Y78" s="752"/>
      <c r="Z78" s="751"/>
      <c r="AA78" s="752"/>
      <c r="AB78" s="751"/>
      <c r="AC78" s="752"/>
      <c r="AD78" s="751"/>
      <c r="AE78" s="752"/>
      <c r="AF78" s="751"/>
      <c r="AG78" s="752"/>
      <c r="AH78" s="751"/>
      <c r="AI78" s="752"/>
      <c r="AJ78" s="751"/>
      <c r="AK78" s="752"/>
      <c r="AL78" s="751"/>
      <c r="AM78" s="935"/>
      <c r="AN78" s="1219"/>
      <c r="AO78" s="1129"/>
      <c r="AP78" s="751"/>
      <c r="AQ78" s="788"/>
      <c r="AR78" s="789"/>
      <c r="AS78" s="752"/>
      <c r="AT78" s="752"/>
      <c r="AU78" s="752"/>
      <c r="AV78" s="752"/>
      <c r="AW78" s="752"/>
      <c r="AX78" s="752"/>
      <c r="AY78" s="1121" t="str">
        <f t="shared" si="57"/>
        <v/>
      </c>
      <c r="AZ78" s="350"/>
      <c r="BA78" s="350"/>
      <c r="BB78" s="350"/>
      <c r="CA78" s="142" t="str">
        <f t="shared" si="58"/>
        <v/>
      </c>
      <c r="CB78" s="142" t="str">
        <f t="shared" si="59"/>
        <v/>
      </c>
      <c r="CC78" s="142" t="str">
        <f t="shared" si="60"/>
        <v/>
      </c>
      <c r="CD78" s="142" t="str">
        <f t="shared" si="61"/>
        <v/>
      </c>
      <c r="CE78" s="142" t="str">
        <f t="shared" si="62"/>
        <v/>
      </c>
      <c r="CF78" s="142" t="str">
        <f t="shared" si="63"/>
        <v/>
      </c>
      <c r="CG78" s="142" t="str">
        <f t="shared" ref="CG78:CG105" si="74">IF(AND($C78&gt;0,OR(AT78=""))," * No olvide digitar la variable Niños, Niñas, Adolescentes y Jóvenes SENAME. Digite Cero si no tiene.",IF(AT78&gt;$C78," * La variable Niños, Niñas, Adolescentes y Jóvenes SENAME no puede ser Mayor al Total ambos sexos.",""))</f>
        <v/>
      </c>
      <c r="CH78" s="142" t="str">
        <f t="shared" ref="CH78:CH105" si="75">IF(AND($C78&gt;0,OR(AU78=""))," * No olvide digitar la variable Niños y niñas Mejor Niñez. Digite Cero si no tiene.",IF(AU78&gt;$C78," * La variable Niños y niñas Mejor Niñez no puede ser Mayor al Total ambos sexos.",""))</f>
        <v/>
      </c>
      <c r="CI78" s="142" t="str">
        <f t="shared" si="64"/>
        <v/>
      </c>
      <c r="CJ78" s="142" t="str">
        <f t="shared" ref="CJ78:CJ120" si="76">IF(AND(E78&gt;0,OR(AW78=""))," * No olvide digitar la variable Trans Masculino. (Digite Cero si no tiene).",IF(AW78&gt;E78," * La variable Trans Masculino no debe ser mayor al Total Mujeres.",""))</f>
        <v/>
      </c>
      <c r="CK78" s="142" t="str">
        <f t="shared" si="65"/>
        <v/>
      </c>
      <c r="CL78" s="5"/>
      <c r="CM78" s="5"/>
      <c r="CN78" s="34">
        <f t="shared" si="66"/>
        <v>0</v>
      </c>
      <c r="CO78" s="34">
        <f t="shared" si="66"/>
        <v>0</v>
      </c>
      <c r="CP78" s="34">
        <f t="shared" si="67"/>
        <v>0</v>
      </c>
      <c r="CQ78" s="34">
        <f t="shared" si="68"/>
        <v>0</v>
      </c>
      <c r="CR78" s="34">
        <f t="shared" si="69"/>
        <v>0</v>
      </c>
      <c r="CS78" s="34">
        <f t="shared" si="70"/>
        <v>0</v>
      </c>
      <c r="CT78" s="34">
        <f t="shared" si="71"/>
        <v>0</v>
      </c>
      <c r="CU78" s="34">
        <f t="shared" si="71"/>
        <v>0</v>
      </c>
      <c r="CV78" s="34">
        <f t="shared" si="71"/>
        <v>0</v>
      </c>
      <c r="CW78" s="34">
        <f t="shared" si="72"/>
        <v>0</v>
      </c>
      <c r="CX78" s="34">
        <f t="shared" si="73"/>
        <v>0</v>
      </c>
      <c r="CY78" s="5"/>
      <c r="DK78" s="5"/>
      <c r="DL78" s="5"/>
      <c r="DM78" s="5"/>
      <c r="DN78" s="5"/>
      <c r="DO78" s="5"/>
      <c r="DP78" s="5"/>
      <c r="DQ78" s="5"/>
    </row>
    <row r="79" spans="1:124" s="800" customFormat="1" ht="15" customHeight="1">
      <c r="A79" s="2440" t="s">
        <v>589</v>
      </c>
      <c r="B79" s="2436" t="s">
        <v>587</v>
      </c>
      <c r="C79" s="781">
        <f t="shared" si="55"/>
        <v>0</v>
      </c>
      <c r="D79" s="697">
        <f t="shared" si="56"/>
        <v>0</v>
      </c>
      <c r="E79" s="1137">
        <f t="shared" si="56"/>
        <v>0</v>
      </c>
      <c r="F79" s="699"/>
      <c r="G79" s="700"/>
      <c r="H79" s="699"/>
      <c r="I79" s="700"/>
      <c r="J79" s="699"/>
      <c r="K79" s="700"/>
      <c r="L79" s="699"/>
      <c r="M79" s="700"/>
      <c r="N79" s="699"/>
      <c r="O79" s="700"/>
      <c r="P79" s="699"/>
      <c r="Q79" s="700"/>
      <c r="R79" s="699"/>
      <c r="S79" s="700"/>
      <c r="T79" s="699"/>
      <c r="U79" s="700"/>
      <c r="V79" s="699"/>
      <c r="W79" s="700"/>
      <c r="X79" s="699"/>
      <c r="Y79" s="700"/>
      <c r="Z79" s="699"/>
      <c r="AA79" s="700"/>
      <c r="AB79" s="699"/>
      <c r="AC79" s="700"/>
      <c r="AD79" s="699"/>
      <c r="AE79" s="700"/>
      <c r="AF79" s="699"/>
      <c r="AG79" s="700"/>
      <c r="AH79" s="699"/>
      <c r="AI79" s="700"/>
      <c r="AJ79" s="699"/>
      <c r="AK79" s="700"/>
      <c r="AL79" s="699"/>
      <c r="AM79" s="1216"/>
      <c r="AN79" s="1217"/>
      <c r="AO79" s="1127"/>
      <c r="AP79" s="699"/>
      <c r="AQ79" s="783"/>
      <c r="AR79" s="784"/>
      <c r="AS79" s="700"/>
      <c r="AT79" s="700"/>
      <c r="AU79" s="700"/>
      <c r="AV79" s="700"/>
      <c r="AW79" s="700"/>
      <c r="AX79" s="700"/>
      <c r="AY79" s="1121" t="str">
        <f t="shared" si="57"/>
        <v/>
      </c>
      <c r="AZ79" s="350"/>
      <c r="BA79" s="350"/>
      <c r="BB79" s="350"/>
      <c r="CA79" s="142" t="str">
        <f t="shared" si="58"/>
        <v/>
      </c>
      <c r="CB79" s="142" t="str">
        <f t="shared" si="59"/>
        <v/>
      </c>
      <c r="CC79" s="142" t="str">
        <f t="shared" si="60"/>
        <v/>
      </c>
      <c r="CD79" s="142" t="str">
        <f t="shared" si="61"/>
        <v/>
      </c>
      <c r="CE79" s="142" t="str">
        <f t="shared" si="62"/>
        <v/>
      </c>
      <c r="CF79" s="142" t="str">
        <f t="shared" si="63"/>
        <v/>
      </c>
      <c r="CG79" s="142" t="str">
        <f t="shared" si="74"/>
        <v/>
      </c>
      <c r="CH79" s="142" t="str">
        <f t="shared" si="75"/>
        <v/>
      </c>
      <c r="CI79" s="142" t="str">
        <f t="shared" si="64"/>
        <v/>
      </c>
      <c r="CJ79" s="142" t="str">
        <f t="shared" si="76"/>
        <v/>
      </c>
      <c r="CK79" s="142" t="str">
        <f t="shared" si="65"/>
        <v/>
      </c>
      <c r="CL79" s="5"/>
      <c r="CM79" s="5"/>
      <c r="CN79" s="34">
        <f t="shared" si="66"/>
        <v>0</v>
      </c>
      <c r="CO79" s="34">
        <f t="shared" si="66"/>
        <v>0</v>
      </c>
      <c r="CP79" s="34">
        <f t="shared" si="67"/>
        <v>0</v>
      </c>
      <c r="CQ79" s="34">
        <f t="shared" si="68"/>
        <v>0</v>
      </c>
      <c r="CR79" s="34">
        <f t="shared" si="69"/>
        <v>0</v>
      </c>
      <c r="CS79" s="34">
        <f t="shared" si="70"/>
        <v>0</v>
      </c>
      <c r="CT79" s="34">
        <f t="shared" si="71"/>
        <v>0</v>
      </c>
      <c r="CU79" s="34">
        <f t="shared" si="71"/>
        <v>0</v>
      </c>
      <c r="CV79" s="34">
        <f t="shared" si="71"/>
        <v>0</v>
      </c>
      <c r="CW79" s="34">
        <f t="shared" si="72"/>
        <v>0</v>
      </c>
      <c r="CX79" s="34">
        <f t="shared" si="73"/>
        <v>0</v>
      </c>
      <c r="CY79" s="5"/>
      <c r="DK79" s="5"/>
      <c r="DL79" s="5"/>
      <c r="DM79" s="5"/>
      <c r="DN79" s="5"/>
      <c r="DO79" s="5"/>
      <c r="DP79" s="5"/>
      <c r="DQ79" s="5"/>
    </row>
    <row r="80" spans="1:124" s="800" customFormat="1" ht="15" customHeight="1">
      <c r="A80" s="2441"/>
      <c r="B80" s="2438" t="s">
        <v>588</v>
      </c>
      <c r="C80" s="842">
        <f t="shared" si="55"/>
        <v>0</v>
      </c>
      <c r="D80" s="740">
        <f t="shared" si="56"/>
        <v>0</v>
      </c>
      <c r="E80" s="1125">
        <f t="shared" si="56"/>
        <v>0</v>
      </c>
      <c r="F80" s="751"/>
      <c r="G80" s="752"/>
      <c r="H80" s="751"/>
      <c r="I80" s="752"/>
      <c r="J80" s="751"/>
      <c r="K80" s="752"/>
      <c r="L80" s="751"/>
      <c r="M80" s="752"/>
      <c r="N80" s="751"/>
      <c r="O80" s="752"/>
      <c r="P80" s="751"/>
      <c r="Q80" s="752"/>
      <c r="R80" s="751"/>
      <c r="S80" s="752"/>
      <c r="T80" s="751"/>
      <c r="U80" s="752"/>
      <c r="V80" s="751"/>
      <c r="W80" s="752"/>
      <c r="X80" s="751"/>
      <c r="Y80" s="752"/>
      <c r="Z80" s="751"/>
      <c r="AA80" s="752"/>
      <c r="AB80" s="751"/>
      <c r="AC80" s="752"/>
      <c r="AD80" s="751"/>
      <c r="AE80" s="752"/>
      <c r="AF80" s="751"/>
      <c r="AG80" s="752"/>
      <c r="AH80" s="751"/>
      <c r="AI80" s="752"/>
      <c r="AJ80" s="751"/>
      <c r="AK80" s="752"/>
      <c r="AL80" s="751"/>
      <c r="AM80" s="935"/>
      <c r="AN80" s="1219"/>
      <c r="AO80" s="1129"/>
      <c r="AP80" s="751"/>
      <c r="AQ80" s="788"/>
      <c r="AR80" s="789"/>
      <c r="AS80" s="752"/>
      <c r="AT80" s="752"/>
      <c r="AU80" s="752"/>
      <c r="AV80" s="752"/>
      <c r="AW80" s="752"/>
      <c r="AX80" s="752"/>
      <c r="AY80" s="1121" t="str">
        <f t="shared" si="57"/>
        <v/>
      </c>
      <c r="AZ80" s="350"/>
      <c r="BA80" s="350"/>
      <c r="BB80" s="350"/>
      <c r="CA80" s="142" t="str">
        <f t="shared" si="58"/>
        <v/>
      </c>
      <c r="CB80" s="142" t="str">
        <f t="shared" si="59"/>
        <v/>
      </c>
      <c r="CC80" s="142" t="str">
        <f t="shared" si="60"/>
        <v/>
      </c>
      <c r="CD80" s="142" t="str">
        <f t="shared" si="61"/>
        <v/>
      </c>
      <c r="CE80" s="142" t="str">
        <f t="shared" si="62"/>
        <v/>
      </c>
      <c r="CF80" s="142" t="str">
        <f t="shared" si="63"/>
        <v/>
      </c>
      <c r="CG80" s="142" t="str">
        <f t="shared" si="74"/>
        <v/>
      </c>
      <c r="CH80" s="142" t="str">
        <f t="shared" si="75"/>
        <v/>
      </c>
      <c r="CI80" s="142" t="str">
        <f t="shared" si="64"/>
        <v/>
      </c>
      <c r="CJ80" s="142" t="str">
        <f t="shared" si="76"/>
        <v/>
      </c>
      <c r="CK80" s="142" t="str">
        <f t="shared" si="65"/>
        <v/>
      </c>
      <c r="CL80" s="5"/>
      <c r="CM80" s="5"/>
      <c r="CN80" s="34">
        <f t="shared" si="66"/>
        <v>0</v>
      </c>
      <c r="CO80" s="34">
        <f t="shared" si="66"/>
        <v>0</v>
      </c>
      <c r="CP80" s="34">
        <f t="shared" si="67"/>
        <v>0</v>
      </c>
      <c r="CQ80" s="34">
        <f t="shared" si="68"/>
        <v>0</v>
      </c>
      <c r="CR80" s="34">
        <f t="shared" si="69"/>
        <v>0</v>
      </c>
      <c r="CS80" s="34">
        <f t="shared" si="70"/>
        <v>0</v>
      </c>
      <c r="CT80" s="34">
        <f t="shared" si="71"/>
        <v>0</v>
      </c>
      <c r="CU80" s="34">
        <f t="shared" si="71"/>
        <v>0</v>
      </c>
      <c r="CV80" s="34">
        <f t="shared" si="71"/>
        <v>0</v>
      </c>
      <c r="CW80" s="34">
        <f t="shared" si="72"/>
        <v>0</v>
      </c>
      <c r="CX80" s="34">
        <f t="shared" si="73"/>
        <v>0</v>
      </c>
      <c r="CY80" s="5"/>
      <c r="DK80" s="5"/>
      <c r="DL80" s="5"/>
      <c r="DM80" s="5"/>
      <c r="DN80" s="5"/>
      <c r="DO80" s="5"/>
      <c r="DP80" s="5"/>
      <c r="DQ80" s="5"/>
    </row>
    <row r="81" spans="1:124" s="800" customFormat="1" ht="15" customHeight="1">
      <c r="A81" s="2440" t="s">
        <v>642</v>
      </c>
      <c r="B81" s="2436" t="s">
        <v>587</v>
      </c>
      <c r="C81" s="781">
        <f t="shared" ref="C81:C86" si="77">SUM(D81:E81)</f>
        <v>0</v>
      </c>
      <c r="D81" s="697">
        <f t="shared" si="56"/>
        <v>0</v>
      </c>
      <c r="E81" s="1137">
        <f t="shared" si="56"/>
        <v>0</v>
      </c>
      <c r="F81" s="699"/>
      <c r="G81" s="700"/>
      <c r="H81" s="699"/>
      <c r="I81" s="700"/>
      <c r="J81" s="699"/>
      <c r="K81" s="700"/>
      <c r="L81" s="699"/>
      <c r="M81" s="700"/>
      <c r="N81" s="699"/>
      <c r="O81" s="700"/>
      <c r="P81" s="699"/>
      <c r="Q81" s="700"/>
      <c r="R81" s="699"/>
      <c r="S81" s="700"/>
      <c r="T81" s="699"/>
      <c r="U81" s="700"/>
      <c r="V81" s="699"/>
      <c r="W81" s="700"/>
      <c r="X81" s="699"/>
      <c r="Y81" s="700"/>
      <c r="Z81" s="699"/>
      <c r="AA81" s="700"/>
      <c r="AB81" s="699"/>
      <c r="AC81" s="700"/>
      <c r="AD81" s="699"/>
      <c r="AE81" s="700"/>
      <c r="AF81" s="699"/>
      <c r="AG81" s="700"/>
      <c r="AH81" s="699"/>
      <c r="AI81" s="700"/>
      <c r="AJ81" s="699"/>
      <c r="AK81" s="700"/>
      <c r="AL81" s="699"/>
      <c r="AM81" s="1216"/>
      <c r="AN81" s="1217"/>
      <c r="AO81" s="1127"/>
      <c r="AP81" s="699"/>
      <c r="AQ81" s="783"/>
      <c r="AR81" s="784"/>
      <c r="AS81" s="700"/>
      <c r="AT81" s="700"/>
      <c r="AU81" s="700"/>
      <c r="AV81" s="700"/>
      <c r="AW81" s="700"/>
      <c r="AX81" s="700"/>
      <c r="AY81" s="1121" t="str">
        <f t="shared" si="57"/>
        <v/>
      </c>
      <c r="AZ81" s="350"/>
      <c r="BA81" s="350"/>
      <c r="BB81" s="350"/>
      <c r="CA81" s="142" t="str">
        <f t="shared" si="58"/>
        <v/>
      </c>
      <c r="CB81" s="142" t="str">
        <f t="shared" si="59"/>
        <v/>
      </c>
      <c r="CC81" s="142" t="str">
        <f t="shared" si="60"/>
        <v/>
      </c>
      <c r="CD81" s="142" t="str">
        <f t="shared" si="61"/>
        <v/>
      </c>
      <c r="CE81" s="142" t="str">
        <f t="shared" si="62"/>
        <v/>
      </c>
      <c r="CF81" s="142" t="str">
        <f t="shared" si="63"/>
        <v/>
      </c>
      <c r="CG81" s="142" t="str">
        <f t="shared" si="74"/>
        <v/>
      </c>
      <c r="CH81" s="142" t="str">
        <f t="shared" si="75"/>
        <v/>
      </c>
      <c r="CI81" s="142" t="str">
        <f t="shared" si="64"/>
        <v/>
      </c>
      <c r="CJ81" s="142" t="str">
        <f t="shared" si="76"/>
        <v/>
      </c>
      <c r="CK81" s="142" t="str">
        <f t="shared" si="65"/>
        <v/>
      </c>
      <c r="CL81" s="5"/>
      <c r="CM81" s="5"/>
      <c r="CN81" s="34">
        <f t="shared" si="66"/>
        <v>0</v>
      </c>
      <c r="CO81" s="34">
        <f t="shared" si="66"/>
        <v>0</v>
      </c>
      <c r="CP81" s="34">
        <f t="shared" si="67"/>
        <v>0</v>
      </c>
      <c r="CQ81" s="34">
        <f t="shared" si="68"/>
        <v>0</v>
      </c>
      <c r="CR81" s="34">
        <f t="shared" si="69"/>
        <v>0</v>
      </c>
      <c r="CS81" s="34">
        <f t="shared" si="70"/>
        <v>0</v>
      </c>
      <c r="CT81" s="34">
        <f t="shared" si="71"/>
        <v>0</v>
      </c>
      <c r="CU81" s="34">
        <f t="shared" si="71"/>
        <v>0</v>
      </c>
      <c r="CV81" s="34">
        <f t="shared" si="71"/>
        <v>0</v>
      </c>
      <c r="CW81" s="34">
        <f t="shared" si="72"/>
        <v>0</v>
      </c>
      <c r="CX81" s="34">
        <f t="shared" si="73"/>
        <v>0</v>
      </c>
      <c r="CY81" s="5"/>
      <c r="DK81" s="5"/>
      <c r="DL81" s="5"/>
      <c r="DM81" s="5"/>
      <c r="DN81" s="5"/>
      <c r="DO81" s="5"/>
      <c r="DP81" s="5"/>
      <c r="DQ81" s="5"/>
      <c r="DR81" s="5"/>
      <c r="DS81" s="5"/>
      <c r="DT81" s="5"/>
    </row>
    <row r="82" spans="1:124" s="800" customFormat="1" ht="15" customHeight="1">
      <c r="A82" s="2441"/>
      <c r="B82" s="2438" t="s">
        <v>588</v>
      </c>
      <c r="C82" s="840">
        <f t="shared" si="77"/>
        <v>0</v>
      </c>
      <c r="D82" s="733">
        <f t="shared" si="56"/>
        <v>0</v>
      </c>
      <c r="E82" s="1131">
        <f t="shared" si="56"/>
        <v>0</v>
      </c>
      <c r="F82" s="722"/>
      <c r="G82" s="723"/>
      <c r="H82" s="722"/>
      <c r="I82" s="723"/>
      <c r="J82" s="722"/>
      <c r="K82" s="723"/>
      <c r="L82" s="722"/>
      <c r="M82" s="723"/>
      <c r="N82" s="722"/>
      <c r="O82" s="723"/>
      <c r="P82" s="722"/>
      <c r="Q82" s="723"/>
      <c r="R82" s="722"/>
      <c r="S82" s="723"/>
      <c r="T82" s="722"/>
      <c r="U82" s="723"/>
      <c r="V82" s="722"/>
      <c r="W82" s="723"/>
      <c r="X82" s="722"/>
      <c r="Y82" s="723"/>
      <c r="Z82" s="722"/>
      <c r="AA82" s="723"/>
      <c r="AB82" s="722"/>
      <c r="AC82" s="723"/>
      <c r="AD82" s="722"/>
      <c r="AE82" s="723"/>
      <c r="AF82" s="722"/>
      <c r="AG82" s="723"/>
      <c r="AH82" s="722"/>
      <c r="AI82" s="723"/>
      <c r="AJ82" s="722"/>
      <c r="AK82" s="723"/>
      <c r="AL82" s="722"/>
      <c r="AM82" s="931"/>
      <c r="AN82" s="1220"/>
      <c r="AO82" s="1133"/>
      <c r="AP82" s="722"/>
      <c r="AQ82" s="850"/>
      <c r="AR82" s="852"/>
      <c r="AS82" s="723"/>
      <c r="AT82" s="723"/>
      <c r="AU82" s="723"/>
      <c r="AV82" s="723"/>
      <c r="AW82" s="723"/>
      <c r="AX82" s="723"/>
      <c r="AY82" s="1121" t="str">
        <f t="shared" si="57"/>
        <v/>
      </c>
      <c r="AZ82" s="1140"/>
      <c r="BA82" s="1140"/>
      <c r="BB82" s="1140"/>
      <c r="CA82" s="142" t="str">
        <f t="shared" si="58"/>
        <v/>
      </c>
      <c r="CB82" s="142" t="str">
        <f t="shared" si="59"/>
        <v/>
      </c>
      <c r="CC82" s="142" t="str">
        <f t="shared" si="60"/>
        <v/>
      </c>
      <c r="CD82" s="142" t="str">
        <f t="shared" si="61"/>
        <v/>
      </c>
      <c r="CE82" s="142" t="str">
        <f t="shared" si="62"/>
        <v/>
      </c>
      <c r="CF82" s="142" t="str">
        <f t="shared" si="63"/>
        <v/>
      </c>
      <c r="CG82" s="142" t="str">
        <f t="shared" si="74"/>
        <v/>
      </c>
      <c r="CH82" s="142" t="str">
        <f t="shared" si="75"/>
        <v/>
      </c>
      <c r="CI82" s="142" t="str">
        <f t="shared" si="64"/>
        <v/>
      </c>
      <c r="CJ82" s="142" t="str">
        <f t="shared" si="76"/>
        <v/>
      </c>
      <c r="CK82" s="142" t="str">
        <f t="shared" si="65"/>
        <v/>
      </c>
      <c r="CL82" s="5"/>
      <c r="CM82" s="5"/>
      <c r="CN82" s="34">
        <f t="shared" si="66"/>
        <v>0</v>
      </c>
      <c r="CO82" s="34">
        <f t="shared" si="66"/>
        <v>0</v>
      </c>
      <c r="CP82" s="34">
        <f t="shared" si="67"/>
        <v>0</v>
      </c>
      <c r="CQ82" s="34">
        <f t="shared" si="68"/>
        <v>0</v>
      </c>
      <c r="CR82" s="34">
        <f t="shared" si="69"/>
        <v>0</v>
      </c>
      <c r="CS82" s="34">
        <f t="shared" si="70"/>
        <v>0</v>
      </c>
      <c r="CT82" s="34">
        <f t="shared" si="71"/>
        <v>0</v>
      </c>
      <c r="CU82" s="34">
        <f t="shared" si="71"/>
        <v>0</v>
      </c>
      <c r="CV82" s="34">
        <f t="shared" si="71"/>
        <v>0</v>
      </c>
      <c r="CW82" s="34">
        <f t="shared" si="72"/>
        <v>0</v>
      </c>
      <c r="CX82" s="34">
        <f t="shared" si="73"/>
        <v>0</v>
      </c>
      <c r="DK82" s="5"/>
      <c r="DL82" s="5"/>
      <c r="DM82" s="5"/>
      <c r="DN82" s="5"/>
      <c r="DO82" s="5"/>
      <c r="DP82" s="5"/>
      <c r="DQ82" s="5"/>
      <c r="DR82" s="5"/>
      <c r="DS82" s="5"/>
      <c r="DT82" s="5"/>
    </row>
    <row r="83" spans="1:124" s="800" customFormat="1" ht="15" customHeight="1">
      <c r="A83" s="2430" t="s">
        <v>591</v>
      </c>
      <c r="B83" s="1221"/>
      <c r="C83" s="1259">
        <f t="shared" ref="C83:C85" si="78">SUM(D83:E83)</f>
        <v>0</v>
      </c>
      <c r="D83" s="1638">
        <f t="shared" si="56"/>
        <v>0</v>
      </c>
      <c r="E83" s="951">
        <f t="shared" si="56"/>
        <v>0</v>
      </c>
      <c r="F83" s="748"/>
      <c r="G83" s="749"/>
      <c r="H83" s="748"/>
      <c r="I83" s="749"/>
      <c r="J83" s="748"/>
      <c r="K83" s="749"/>
      <c r="L83" s="748"/>
      <c r="M83" s="749"/>
      <c r="N83" s="748"/>
      <c r="O83" s="749"/>
      <c r="P83" s="748"/>
      <c r="Q83" s="749"/>
      <c r="R83" s="748"/>
      <c r="S83" s="749"/>
      <c r="T83" s="748"/>
      <c r="U83" s="749"/>
      <c r="V83" s="748"/>
      <c r="W83" s="749"/>
      <c r="X83" s="748"/>
      <c r="Y83" s="749"/>
      <c r="Z83" s="748"/>
      <c r="AA83" s="749"/>
      <c r="AB83" s="748"/>
      <c r="AC83" s="749"/>
      <c r="AD83" s="748"/>
      <c r="AE83" s="749"/>
      <c r="AF83" s="748"/>
      <c r="AG83" s="749"/>
      <c r="AH83" s="748"/>
      <c r="AI83" s="749"/>
      <c r="AJ83" s="748"/>
      <c r="AK83" s="749"/>
      <c r="AL83" s="748"/>
      <c r="AM83" s="1222"/>
      <c r="AN83" s="1223"/>
      <c r="AO83" s="1136"/>
      <c r="AP83" s="748"/>
      <c r="AQ83" s="794"/>
      <c r="AR83" s="795"/>
      <c r="AS83" s="749"/>
      <c r="AT83" s="749"/>
      <c r="AU83" s="749"/>
      <c r="AV83" s="749"/>
      <c r="AW83" s="749"/>
      <c r="AX83" s="749"/>
      <c r="AY83" s="1121" t="str">
        <f t="shared" si="57"/>
        <v/>
      </c>
      <c r="AZ83" s="1140"/>
      <c r="BA83" s="1140"/>
      <c r="BB83" s="1140"/>
      <c r="CA83" s="142" t="str">
        <f t="shared" si="58"/>
        <v/>
      </c>
      <c r="CB83" s="142" t="str">
        <f t="shared" si="59"/>
        <v/>
      </c>
      <c r="CC83" s="142" t="str">
        <f t="shared" si="60"/>
        <v/>
      </c>
      <c r="CD83" s="142" t="str">
        <f t="shared" si="61"/>
        <v/>
      </c>
      <c r="CE83" s="142" t="str">
        <f t="shared" si="62"/>
        <v/>
      </c>
      <c r="CF83" s="142" t="str">
        <f t="shared" si="63"/>
        <v/>
      </c>
      <c r="CG83" s="142" t="str">
        <f t="shared" si="74"/>
        <v/>
      </c>
      <c r="CH83" s="142" t="str">
        <f t="shared" si="75"/>
        <v/>
      </c>
      <c r="CI83" s="142" t="str">
        <f t="shared" si="64"/>
        <v/>
      </c>
      <c r="CJ83" s="142" t="str">
        <f t="shared" si="76"/>
        <v/>
      </c>
      <c r="CK83" s="142" t="str">
        <f t="shared" si="65"/>
        <v/>
      </c>
      <c r="CL83" s="5"/>
      <c r="CM83" s="5"/>
      <c r="CN83" s="34">
        <f t="shared" si="66"/>
        <v>0</v>
      </c>
      <c r="CO83" s="34">
        <f t="shared" si="66"/>
        <v>0</v>
      </c>
      <c r="CP83" s="34">
        <f t="shared" si="67"/>
        <v>0</v>
      </c>
      <c r="CQ83" s="34">
        <f t="shared" si="68"/>
        <v>0</v>
      </c>
      <c r="CR83" s="34">
        <f t="shared" si="69"/>
        <v>0</v>
      </c>
      <c r="CS83" s="34">
        <f t="shared" si="70"/>
        <v>0</v>
      </c>
      <c r="CT83" s="34">
        <f t="shared" si="71"/>
        <v>0</v>
      </c>
      <c r="CU83" s="34">
        <f t="shared" si="71"/>
        <v>0</v>
      </c>
      <c r="CV83" s="34">
        <f t="shared" si="71"/>
        <v>0</v>
      </c>
      <c r="CW83" s="34">
        <f t="shared" si="72"/>
        <v>0</v>
      </c>
      <c r="CX83" s="34">
        <f t="shared" si="73"/>
        <v>0</v>
      </c>
      <c r="DK83" s="5"/>
      <c r="DL83" s="5"/>
      <c r="DM83" s="5"/>
      <c r="DN83" s="5"/>
      <c r="DO83" s="5"/>
      <c r="DP83" s="5"/>
      <c r="DQ83" s="5"/>
      <c r="DR83" s="5"/>
      <c r="DS83" s="5"/>
      <c r="DT83" s="5"/>
    </row>
    <row r="84" spans="1:124" s="800" customFormat="1" ht="15" customHeight="1">
      <c r="A84" s="2084" t="s">
        <v>592</v>
      </c>
      <c r="B84" s="1224" t="s">
        <v>593</v>
      </c>
      <c r="C84" s="1259">
        <f t="shared" si="78"/>
        <v>0</v>
      </c>
      <c r="D84" s="740">
        <f>+H84+J84+L84+N84+P84+R84+T84+V84+X84+Z84+AB84+AD84+AF84+AH84+AJ84+AL84</f>
        <v>0</v>
      </c>
      <c r="E84" s="741">
        <f>+I84+K84+M84+O84+Q84+S84+U84+W84+Y84+AA84+AC84+AE84+AG84+AI84+AK84+AM84</f>
        <v>0</v>
      </c>
      <c r="F84" s="711"/>
      <c r="G84" s="712"/>
      <c r="H84" s="751"/>
      <c r="I84" s="752"/>
      <c r="J84" s="751"/>
      <c r="K84" s="752"/>
      <c r="L84" s="751"/>
      <c r="M84" s="752"/>
      <c r="N84" s="751"/>
      <c r="O84" s="752"/>
      <c r="P84" s="751"/>
      <c r="Q84" s="752"/>
      <c r="R84" s="751"/>
      <c r="S84" s="752"/>
      <c r="T84" s="751"/>
      <c r="U84" s="752"/>
      <c r="V84" s="751"/>
      <c r="W84" s="752"/>
      <c r="X84" s="751"/>
      <c r="Y84" s="752"/>
      <c r="Z84" s="751"/>
      <c r="AA84" s="752"/>
      <c r="AB84" s="751"/>
      <c r="AC84" s="752"/>
      <c r="AD84" s="751"/>
      <c r="AE84" s="752"/>
      <c r="AF84" s="751"/>
      <c r="AG84" s="752"/>
      <c r="AH84" s="751"/>
      <c r="AI84" s="752"/>
      <c r="AJ84" s="751"/>
      <c r="AK84" s="752"/>
      <c r="AL84" s="751"/>
      <c r="AM84" s="935"/>
      <c r="AN84" s="1219"/>
      <c r="AO84" s="1129"/>
      <c r="AP84" s="751"/>
      <c r="AQ84" s="788"/>
      <c r="AR84" s="789"/>
      <c r="AS84" s="752"/>
      <c r="AT84" s="752"/>
      <c r="AU84" s="752"/>
      <c r="AV84" s="752"/>
      <c r="AW84" s="752"/>
      <c r="AX84" s="752"/>
      <c r="AY84" s="1121" t="str">
        <f t="shared" si="57"/>
        <v/>
      </c>
      <c r="AZ84" s="1140"/>
      <c r="BA84" s="1140"/>
      <c r="BB84" s="1140"/>
      <c r="CA84" s="142" t="str">
        <f t="shared" si="58"/>
        <v/>
      </c>
      <c r="CB84" s="142" t="str">
        <f t="shared" si="59"/>
        <v/>
      </c>
      <c r="CC84" s="142" t="str">
        <f t="shared" si="60"/>
        <v/>
      </c>
      <c r="CD84" s="142" t="str">
        <f t="shared" si="61"/>
        <v/>
      </c>
      <c r="CE84" s="142" t="str">
        <f t="shared" si="62"/>
        <v/>
      </c>
      <c r="CF84" s="142" t="str">
        <f t="shared" si="63"/>
        <v/>
      </c>
      <c r="CG84" s="142" t="str">
        <f t="shared" si="74"/>
        <v/>
      </c>
      <c r="CH84" s="142" t="str">
        <f t="shared" si="75"/>
        <v/>
      </c>
      <c r="CI84" s="142" t="str">
        <f t="shared" si="64"/>
        <v/>
      </c>
      <c r="CJ84" s="142" t="str">
        <f t="shared" si="76"/>
        <v/>
      </c>
      <c r="CK84" s="142" t="str">
        <f t="shared" si="65"/>
        <v/>
      </c>
      <c r="CL84" s="5"/>
      <c r="CM84" s="5"/>
      <c r="CN84" s="34">
        <f t="shared" si="66"/>
        <v>0</v>
      </c>
      <c r="CO84" s="34">
        <f t="shared" si="66"/>
        <v>0</v>
      </c>
      <c r="CP84" s="34">
        <f t="shared" si="67"/>
        <v>0</v>
      </c>
      <c r="CQ84" s="34">
        <f t="shared" si="68"/>
        <v>0</v>
      </c>
      <c r="CR84" s="34">
        <f t="shared" si="69"/>
        <v>0</v>
      </c>
      <c r="CS84" s="34">
        <f t="shared" si="70"/>
        <v>0</v>
      </c>
      <c r="CT84" s="34">
        <f t="shared" si="71"/>
        <v>0</v>
      </c>
      <c r="CU84" s="34">
        <f t="shared" si="71"/>
        <v>0</v>
      </c>
      <c r="CV84" s="34">
        <f t="shared" si="71"/>
        <v>0</v>
      </c>
      <c r="CW84" s="34">
        <f t="shared" si="72"/>
        <v>0</v>
      </c>
      <c r="CX84" s="34">
        <f t="shared" si="73"/>
        <v>0</v>
      </c>
      <c r="DK84" s="5"/>
      <c r="DL84" s="5"/>
      <c r="DM84" s="5"/>
      <c r="DN84" s="5"/>
      <c r="DO84" s="5"/>
      <c r="DP84" s="5"/>
      <c r="DQ84" s="5"/>
      <c r="DR84" s="5"/>
      <c r="DS84" s="5"/>
      <c r="DT84" s="5"/>
    </row>
    <row r="85" spans="1:124" s="800" customFormat="1" ht="15" customHeight="1">
      <c r="A85" s="1738"/>
      <c r="B85" s="1633" t="s">
        <v>594</v>
      </c>
      <c r="C85" s="1259">
        <f t="shared" si="78"/>
        <v>0</v>
      </c>
      <c r="D85" s="845">
        <f>+H85+J85+L85+N85+P85+R85+T85+V85+X85+Z85+AB85+AD85+AF85+AH85+AJ85+AL85</f>
        <v>0</v>
      </c>
      <c r="E85" s="1176">
        <f>+I85+K85+M85+O85+Q85+S85+U85+W85+Y85+AA85+AC85+AE85+AG85+AI85+AK85+AM85</f>
        <v>0</v>
      </c>
      <c r="F85" s="724"/>
      <c r="G85" s="725"/>
      <c r="H85" s="908"/>
      <c r="I85" s="909"/>
      <c r="J85" s="908"/>
      <c r="K85" s="909"/>
      <c r="L85" s="908"/>
      <c r="M85" s="909"/>
      <c r="N85" s="908"/>
      <c r="O85" s="909"/>
      <c r="P85" s="908"/>
      <c r="Q85" s="909"/>
      <c r="R85" s="908"/>
      <c r="S85" s="909"/>
      <c r="T85" s="908"/>
      <c r="U85" s="909"/>
      <c r="V85" s="908"/>
      <c r="W85" s="909"/>
      <c r="X85" s="908"/>
      <c r="Y85" s="909"/>
      <c r="Z85" s="908"/>
      <c r="AA85" s="909"/>
      <c r="AB85" s="908"/>
      <c r="AC85" s="909"/>
      <c r="AD85" s="908"/>
      <c r="AE85" s="909"/>
      <c r="AF85" s="908"/>
      <c r="AG85" s="909"/>
      <c r="AH85" s="908"/>
      <c r="AI85" s="909"/>
      <c r="AJ85" s="908"/>
      <c r="AK85" s="909"/>
      <c r="AL85" s="908"/>
      <c r="AM85" s="937"/>
      <c r="AN85" s="1225"/>
      <c r="AO85" s="1226"/>
      <c r="AP85" s="908"/>
      <c r="AQ85" s="912"/>
      <c r="AR85" s="936"/>
      <c r="AS85" s="909"/>
      <c r="AT85" s="909"/>
      <c r="AU85" s="909"/>
      <c r="AV85" s="909"/>
      <c r="AW85" s="909"/>
      <c r="AX85" s="909"/>
      <c r="AY85" s="1121" t="str">
        <f t="shared" si="57"/>
        <v/>
      </c>
      <c r="AZ85" s="1140"/>
      <c r="BA85" s="1140"/>
      <c r="BB85" s="1140"/>
      <c r="CA85" s="142" t="str">
        <f t="shared" si="58"/>
        <v/>
      </c>
      <c r="CB85" s="142" t="str">
        <f t="shared" si="59"/>
        <v/>
      </c>
      <c r="CC85" s="142" t="str">
        <f t="shared" si="60"/>
        <v/>
      </c>
      <c r="CD85" s="142" t="str">
        <f t="shared" si="61"/>
        <v/>
      </c>
      <c r="CE85" s="142" t="str">
        <f t="shared" si="62"/>
        <v/>
      </c>
      <c r="CF85" s="142" t="str">
        <f t="shared" si="63"/>
        <v/>
      </c>
      <c r="CG85" s="142" t="str">
        <f t="shared" si="74"/>
        <v/>
      </c>
      <c r="CH85" s="142" t="str">
        <f t="shared" si="75"/>
        <v/>
      </c>
      <c r="CI85" s="142" t="str">
        <f t="shared" si="64"/>
        <v/>
      </c>
      <c r="CJ85" s="142" t="str">
        <f t="shared" si="76"/>
        <v/>
      </c>
      <c r="CK85" s="142" t="str">
        <f t="shared" si="65"/>
        <v/>
      </c>
      <c r="CL85" s="5"/>
      <c r="CM85" s="5"/>
      <c r="CN85" s="34">
        <f t="shared" si="66"/>
        <v>0</v>
      </c>
      <c r="CO85" s="34">
        <f t="shared" si="66"/>
        <v>0</v>
      </c>
      <c r="CP85" s="34">
        <f t="shared" si="67"/>
        <v>0</v>
      </c>
      <c r="CQ85" s="34">
        <f t="shared" si="68"/>
        <v>0</v>
      </c>
      <c r="CR85" s="34">
        <f t="shared" si="69"/>
        <v>0</v>
      </c>
      <c r="CS85" s="34">
        <f t="shared" si="70"/>
        <v>0</v>
      </c>
      <c r="CT85" s="34">
        <f t="shared" si="71"/>
        <v>0</v>
      </c>
      <c r="CU85" s="34">
        <f t="shared" si="71"/>
        <v>0</v>
      </c>
      <c r="CV85" s="34">
        <f t="shared" si="71"/>
        <v>0</v>
      </c>
      <c r="CW85" s="34">
        <f t="shared" si="72"/>
        <v>0</v>
      </c>
      <c r="CX85" s="34">
        <f t="shared" si="73"/>
        <v>0</v>
      </c>
      <c r="DK85" s="5"/>
      <c r="DL85" s="5"/>
      <c r="DM85" s="5"/>
      <c r="DN85" s="5"/>
      <c r="DO85" s="5"/>
      <c r="DP85" s="5"/>
      <c r="DQ85" s="5"/>
      <c r="DR85" s="5"/>
      <c r="DS85" s="5"/>
      <c r="DT85" s="5"/>
    </row>
    <row r="86" spans="1:124" s="800" customFormat="1" ht="15" customHeight="1">
      <c r="A86" s="2431" t="s">
        <v>595</v>
      </c>
      <c r="B86" s="2432"/>
      <c r="C86" s="2412">
        <f t="shared" si="77"/>
        <v>0</v>
      </c>
      <c r="D86" s="1638">
        <f t="shared" si="56"/>
        <v>0</v>
      </c>
      <c r="E86" s="951">
        <f t="shared" si="56"/>
        <v>0</v>
      </c>
      <c r="F86" s="1116"/>
      <c r="G86" s="1118"/>
      <c r="H86" s="1116"/>
      <c r="I86" s="1118"/>
      <c r="J86" s="1116"/>
      <c r="K86" s="1118"/>
      <c r="L86" s="1116"/>
      <c r="M86" s="1118"/>
      <c r="N86" s="1116"/>
      <c r="O86" s="1118"/>
      <c r="P86" s="1116"/>
      <c r="Q86" s="1118"/>
      <c r="R86" s="1116"/>
      <c r="S86" s="1118"/>
      <c r="T86" s="1116"/>
      <c r="U86" s="1118"/>
      <c r="V86" s="1116"/>
      <c r="W86" s="1118"/>
      <c r="X86" s="1116"/>
      <c r="Y86" s="1118"/>
      <c r="Z86" s="1116"/>
      <c r="AA86" s="1118"/>
      <c r="AB86" s="1116"/>
      <c r="AC86" s="1118"/>
      <c r="AD86" s="1116"/>
      <c r="AE86" s="1118"/>
      <c r="AF86" s="1116"/>
      <c r="AG86" s="1118"/>
      <c r="AH86" s="1116"/>
      <c r="AI86" s="1118"/>
      <c r="AJ86" s="1116"/>
      <c r="AK86" s="1118"/>
      <c r="AL86" s="1116"/>
      <c r="AM86" s="1117"/>
      <c r="AN86" s="1212"/>
      <c r="AO86" s="2414"/>
      <c r="AP86" s="1116"/>
      <c r="AQ86" s="1120"/>
      <c r="AR86" s="2413"/>
      <c r="AS86" s="1118"/>
      <c r="AT86" s="1118"/>
      <c r="AU86" s="1118"/>
      <c r="AV86" s="1118"/>
      <c r="AW86" s="1118"/>
      <c r="AX86" s="1118"/>
      <c r="AY86" s="1121" t="str">
        <f t="shared" si="57"/>
        <v/>
      </c>
      <c r="AZ86" s="1140"/>
      <c r="BA86" s="1140"/>
      <c r="BB86" s="1140"/>
      <c r="CA86" s="142" t="str">
        <f t="shared" si="58"/>
        <v/>
      </c>
      <c r="CB86" s="142" t="str">
        <f t="shared" si="59"/>
        <v/>
      </c>
      <c r="CC86" s="142" t="str">
        <f t="shared" si="60"/>
        <v/>
      </c>
      <c r="CD86" s="142" t="str">
        <f t="shared" si="61"/>
        <v/>
      </c>
      <c r="CE86" s="142" t="str">
        <f t="shared" si="62"/>
        <v/>
      </c>
      <c r="CF86" s="142" t="str">
        <f t="shared" si="63"/>
        <v/>
      </c>
      <c r="CG86" s="142" t="str">
        <f t="shared" si="74"/>
        <v/>
      </c>
      <c r="CH86" s="142" t="str">
        <f t="shared" si="75"/>
        <v/>
      </c>
      <c r="CI86" s="142" t="str">
        <f t="shared" si="64"/>
        <v/>
      </c>
      <c r="CJ86" s="142" t="str">
        <f t="shared" si="76"/>
        <v/>
      </c>
      <c r="CK86" s="142" t="str">
        <f t="shared" si="65"/>
        <v/>
      </c>
      <c r="CL86" s="5"/>
      <c r="CM86" s="5"/>
      <c r="CN86" s="34">
        <f t="shared" si="66"/>
        <v>0</v>
      </c>
      <c r="CO86" s="34">
        <f t="shared" si="66"/>
        <v>0</v>
      </c>
      <c r="CP86" s="34">
        <f t="shared" si="67"/>
        <v>0</v>
      </c>
      <c r="CQ86" s="34">
        <f t="shared" si="68"/>
        <v>0</v>
      </c>
      <c r="CR86" s="34">
        <f t="shared" si="69"/>
        <v>0</v>
      </c>
      <c r="CS86" s="34">
        <f t="shared" si="70"/>
        <v>0</v>
      </c>
      <c r="CT86" s="34">
        <f t="shared" si="71"/>
        <v>0</v>
      </c>
      <c r="CU86" s="34">
        <f t="shared" si="71"/>
        <v>0</v>
      </c>
      <c r="CV86" s="34">
        <f t="shared" si="71"/>
        <v>0</v>
      </c>
      <c r="CW86" s="34">
        <f t="shared" si="72"/>
        <v>0</v>
      </c>
      <c r="CX86" s="34">
        <f t="shared" si="73"/>
        <v>0</v>
      </c>
      <c r="DK86" s="5"/>
      <c r="DL86" s="5"/>
      <c r="DM86" s="5"/>
      <c r="DN86" s="5"/>
      <c r="DO86" s="5"/>
      <c r="DP86" s="5"/>
      <c r="DQ86" s="5"/>
      <c r="DR86" s="5"/>
      <c r="DS86" s="5"/>
      <c r="DT86" s="5"/>
    </row>
    <row r="87" spans="1:124" s="800" customFormat="1" ht="15" customHeight="1">
      <c r="A87" s="2433" t="s">
        <v>643</v>
      </c>
      <c r="B87" s="1215" t="s">
        <v>644</v>
      </c>
      <c r="C87" s="965">
        <f t="shared" ref="C87:C118" si="79">SUM(D87:E87)</f>
        <v>0</v>
      </c>
      <c r="D87" s="740">
        <f t="shared" si="56"/>
        <v>0</v>
      </c>
      <c r="E87" s="1125">
        <f t="shared" si="56"/>
        <v>0</v>
      </c>
      <c r="F87" s="751"/>
      <c r="G87" s="752"/>
      <c r="H87" s="751"/>
      <c r="I87" s="752"/>
      <c r="J87" s="751"/>
      <c r="K87" s="752"/>
      <c r="L87" s="751"/>
      <c r="M87" s="752"/>
      <c r="N87" s="751"/>
      <c r="O87" s="752"/>
      <c r="P87" s="751"/>
      <c r="Q87" s="752"/>
      <c r="R87" s="751"/>
      <c r="S87" s="752"/>
      <c r="T87" s="751"/>
      <c r="U87" s="752"/>
      <c r="V87" s="751"/>
      <c r="W87" s="752"/>
      <c r="X87" s="751"/>
      <c r="Y87" s="752"/>
      <c r="Z87" s="751"/>
      <c r="AA87" s="752"/>
      <c r="AB87" s="751"/>
      <c r="AC87" s="752"/>
      <c r="AD87" s="751"/>
      <c r="AE87" s="752"/>
      <c r="AF87" s="751"/>
      <c r="AG87" s="752"/>
      <c r="AH87" s="751"/>
      <c r="AI87" s="752"/>
      <c r="AJ87" s="751"/>
      <c r="AK87" s="752"/>
      <c r="AL87" s="751"/>
      <c r="AM87" s="935"/>
      <c r="AN87" s="1219"/>
      <c r="AO87" s="1129"/>
      <c r="AP87" s="751"/>
      <c r="AQ87" s="788"/>
      <c r="AR87" s="789"/>
      <c r="AS87" s="752"/>
      <c r="AT87" s="752"/>
      <c r="AU87" s="752"/>
      <c r="AV87" s="752"/>
      <c r="AW87" s="752"/>
      <c r="AX87" s="752"/>
      <c r="AY87" s="1121" t="str">
        <f t="shared" si="57"/>
        <v/>
      </c>
      <c r="AZ87" s="1140"/>
      <c r="BA87" s="1140"/>
      <c r="BB87" s="1140"/>
      <c r="CA87" s="142" t="str">
        <f t="shared" si="58"/>
        <v/>
      </c>
      <c r="CB87" s="142" t="str">
        <f t="shared" si="59"/>
        <v/>
      </c>
      <c r="CC87" s="142" t="str">
        <f t="shared" si="60"/>
        <v/>
      </c>
      <c r="CD87" s="142" t="str">
        <f t="shared" si="61"/>
        <v/>
      </c>
      <c r="CE87" s="142" t="str">
        <f t="shared" si="62"/>
        <v/>
      </c>
      <c r="CF87" s="142" t="str">
        <f t="shared" si="63"/>
        <v/>
      </c>
      <c r="CG87" s="142" t="str">
        <f t="shared" si="74"/>
        <v/>
      </c>
      <c r="CH87" s="142" t="str">
        <f t="shared" si="75"/>
        <v/>
      </c>
      <c r="CI87" s="142" t="str">
        <f t="shared" si="64"/>
        <v/>
      </c>
      <c r="CJ87" s="142" t="str">
        <f t="shared" si="76"/>
        <v/>
      </c>
      <c r="CK87" s="142" t="str">
        <f t="shared" si="65"/>
        <v/>
      </c>
      <c r="CL87" s="5"/>
      <c r="CM87" s="5"/>
      <c r="CN87" s="34">
        <f t="shared" si="66"/>
        <v>0</v>
      </c>
      <c r="CO87" s="34">
        <f t="shared" si="66"/>
        <v>0</v>
      </c>
      <c r="CP87" s="34">
        <f t="shared" si="67"/>
        <v>0</v>
      </c>
      <c r="CQ87" s="34">
        <f t="shared" si="68"/>
        <v>0</v>
      </c>
      <c r="CR87" s="34">
        <f t="shared" si="69"/>
        <v>0</v>
      </c>
      <c r="CS87" s="34">
        <f t="shared" si="70"/>
        <v>0</v>
      </c>
      <c r="CT87" s="34">
        <f t="shared" si="71"/>
        <v>0</v>
      </c>
      <c r="CU87" s="34">
        <f t="shared" si="71"/>
        <v>0</v>
      </c>
      <c r="CV87" s="34">
        <f t="shared" si="71"/>
        <v>0</v>
      </c>
      <c r="CW87" s="34">
        <f t="shared" si="72"/>
        <v>0</v>
      </c>
      <c r="CX87" s="34">
        <f t="shared" si="73"/>
        <v>0</v>
      </c>
      <c r="DK87" s="5"/>
      <c r="DL87" s="5"/>
      <c r="DM87" s="5"/>
      <c r="DN87" s="5"/>
      <c r="DO87" s="5"/>
      <c r="DP87" s="5"/>
      <c r="DQ87" s="5"/>
      <c r="DR87" s="5"/>
      <c r="DS87" s="5"/>
      <c r="DT87" s="5"/>
    </row>
    <row r="88" spans="1:124" s="800" customFormat="1" ht="15" customHeight="1">
      <c r="A88" s="2433"/>
      <c r="B88" s="1227" t="s">
        <v>645</v>
      </c>
      <c r="C88" s="965">
        <f t="shared" si="79"/>
        <v>0</v>
      </c>
      <c r="D88" s="740">
        <f t="shared" si="56"/>
        <v>0</v>
      </c>
      <c r="E88" s="1125">
        <f t="shared" si="56"/>
        <v>0</v>
      </c>
      <c r="F88" s="709"/>
      <c r="G88" s="710"/>
      <c r="H88" s="709"/>
      <c r="I88" s="710"/>
      <c r="J88" s="709"/>
      <c r="K88" s="710"/>
      <c r="L88" s="709"/>
      <c r="M88" s="710"/>
      <c r="N88" s="709"/>
      <c r="O88" s="710"/>
      <c r="P88" s="709"/>
      <c r="Q88" s="710"/>
      <c r="R88" s="709"/>
      <c r="S88" s="710"/>
      <c r="T88" s="709"/>
      <c r="U88" s="710"/>
      <c r="V88" s="709"/>
      <c r="W88" s="710"/>
      <c r="X88" s="709"/>
      <c r="Y88" s="710"/>
      <c r="Z88" s="709"/>
      <c r="AA88" s="710"/>
      <c r="AB88" s="709"/>
      <c r="AC88" s="710"/>
      <c r="AD88" s="709"/>
      <c r="AE88" s="710"/>
      <c r="AF88" s="709"/>
      <c r="AG88" s="710"/>
      <c r="AH88" s="709"/>
      <c r="AI88" s="710"/>
      <c r="AJ88" s="709"/>
      <c r="AK88" s="710"/>
      <c r="AL88" s="709"/>
      <c r="AM88" s="1228"/>
      <c r="AN88" s="1229"/>
      <c r="AO88" s="1143"/>
      <c r="AP88" s="709"/>
      <c r="AQ88" s="900"/>
      <c r="AR88" s="928"/>
      <c r="AS88" s="710"/>
      <c r="AT88" s="710"/>
      <c r="AU88" s="710"/>
      <c r="AV88" s="710"/>
      <c r="AW88" s="710"/>
      <c r="AX88" s="710"/>
      <c r="AY88" s="1121" t="str">
        <f t="shared" si="57"/>
        <v/>
      </c>
      <c r="AZ88" s="1140"/>
      <c r="BA88" s="1140"/>
      <c r="BB88" s="1140"/>
      <c r="CA88" s="142" t="str">
        <f t="shared" si="58"/>
        <v/>
      </c>
      <c r="CB88" s="142" t="str">
        <f t="shared" si="59"/>
        <v/>
      </c>
      <c r="CC88" s="142" t="str">
        <f t="shared" si="60"/>
        <v/>
      </c>
      <c r="CD88" s="142" t="str">
        <f t="shared" si="61"/>
        <v/>
      </c>
      <c r="CE88" s="142" t="str">
        <f t="shared" si="62"/>
        <v/>
      </c>
      <c r="CF88" s="142" t="str">
        <f t="shared" si="63"/>
        <v/>
      </c>
      <c r="CG88" s="142" t="str">
        <f t="shared" si="74"/>
        <v/>
      </c>
      <c r="CH88" s="142" t="str">
        <f t="shared" si="75"/>
        <v/>
      </c>
      <c r="CI88" s="142" t="str">
        <f t="shared" si="64"/>
        <v/>
      </c>
      <c r="CJ88" s="142" t="str">
        <f t="shared" si="76"/>
        <v/>
      </c>
      <c r="CK88" s="142" t="str">
        <f t="shared" si="65"/>
        <v/>
      </c>
      <c r="CL88" s="5"/>
      <c r="CM88" s="5"/>
      <c r="CN88" s="34">
        <f t="shared" si="66"/>
        <v>0</v>
      </c>
      <c r="CO88" s="34">
        <f t="shared" si="66"/>
        <v>0</v>
      </c>
      <c r="CP88" s="34">
        <f t="shared" si="67"/>
        <v>0</v>
      </c>
      <c r="CQ88" s="34">
        <f t="shared" si="68"/>
        <v>0</v>
      </c>
      <c r="CR88" s="34">
        <f t="shared" si="69"/>
        <v>0</v>
      </c>
      <c r="CS88" s="34">
        <f t="shared" si="70"/>
        <v>0</v>
      </c>
      <c r="CT88" s="34">
        <f t="shared" si="71"/>
        <v>0</v>
      </c>
      <c r="CU88" s="34">
        <f t="shared" si="71"/>
        <v>0</v>
      </c>
      <c r="CV88" s="34">
        <f t="shared" si="71"/>
        <v>0</v>
      </c>
      <c r="CW88" s="34">
        <f t="shared" si="72"/>
        <v>0</v>
      </c>
      <c r="CX88" s="34">
        <f t="shared" si="73"/>
        <v>0</v>
      </c>
      <c r="DK88" s="5"/>
      <c r="DL88" s="5"/>
      <c r="DM88" s="5"/>
      <c r="DN88" s="5"/>
      <c r="DO88" s="5"/>
      <c r="DP88" s="5"/>
      <c r="DQ88" s="5"/>
      <c r="DR88" s="5"/>
      <c r="DS88" s="5"/>
      <c r="DT88" s="5"/>
    </row>
    <row r="89" spans="1:124" s="800" customFormat="1" ht="15" customHeight="1">
      <c r="A89" s="2433"/>
      <c r="B89" s="1227" t="s">
        <v>646</v>
      </c>
      <c r="C89" s="965">
        <f t="shared" si="79"/>
        <v>0</v>
      </c>
      <c r="D89" s="740">
        <f t="shared" si="56"/>
        <v>0</v>
      </c>
      <c r="E89" s="1125">
        <f t="shared" si="56"/>
        <v>0</v>
      </c>
      <c r="F89" s="709"/>
      <c r="G89" s="710"/>
      <c r="H89" s="709"/>
      <c r="I89" s="710"/>
      <c r="J89" s="709"/>
      <c r="K89" s="710"/>
      <c r="L89" s="709"/>
      <c r="M89" s="710"/>
      <c r="N89" s="709"/>
      <c r="O89" s="710"/>
      <c r="P89" s="709"/>
      <c r="Q89" s="710"/>
      <c r="R89" s="709"/>
      <c r="S89" s="710"/>
      <c r="T89" s="709"/>
      <c r="U89" s="710"/>
      <c r="V89" s="709"/>
      <c r="W89" s="710"/>
      <c r="X89" s="709"/>
      <c r="Y89" s="710"/>
      <c r="Z89" s="709"/>
      <c r="AA89" s="710"/>
      <c r="AB89" s="709"/>
      <c r="AC89" s="710"/>
      <c r="AD89" s="709"/>
      <c r="AE89" s="710"/>
      <c r="AF89" s="709"/>
      <c r="AG89" s="710"/>
      <c r="AH89" s="709"/>
      <c r="AI89" s="710"/>
      <c r="AJ89" s="709"/>
      <c r="AK89" s="710"/>
      <c r="AL89" s="709"/>
      <c r="AM89" s="1228"/>
      <c r="AN89" s="1229"/>
      <c r="AO89" s="1143"/>
      <c r="AP89" s="709"/>
      <c r="AQ89" s="900"/>
      <c r="AR89" s="928"/>
      <c r="AS89" s="710"/>
      <c r="AT89" s="710"/>
      <c r="AU89" s="710"/>
      <c r="AV89" s="710"/>
      <c r="AW89" s="710"/>
      <c r="AX89" s="710"/>
      <c r="AY89" s="1121" t="str">
        <f t="shared" si="57"/>
        <v/>
      </c>
      <c r="AZ89" s="1140"/>
      <c r="BA89" s="1140"/>
      <c r="BB89" s="1140"/>
      <c r="CA89" s="142" t="str">
        <f t="shared" si="58"/>
        <v/>
      </c>
      <c r="CB89" s="142" t="str">
        <f t="shared" si="59"/>
        <v/>
      </c>
      <c r="CC89" s="142" t="str">
        <f t="shared" si="60"/>
        <v/>
      </c>
      <c r="CD89" s="142" t="str">
        <f>IF(AND(E89&gt;0,OR(AQ89=""))," * No olvide digitar la variable Pueblos Originarios Mujeres. Digite Cero si no tiene.",IF(AQ89&gt;E89," * La variable Pueblos Originarios Mujeres no puede ser Mayor al Total Mujeres.",""))</f>
        <v/>
      </c>
      <c r="CE89" s="142" t="str">
        <f t="shared" si="62"/>
        <v/>
      </c>
      <c r="CF89" s="142" t="str">
        <f t="shared" si="63"/>
        <v/>
      </c>
      <c r="CG89" s="142" t="str">
        <f t="shared" si="74"/>
        <v/>
      </c>
      <c r="CH89" s="142" t="str">
        <f t="shared" si="75"/>
        <v/>
      </c>
      <c r="CI89" s="142" t="str">
        <f t="shared" si="64"/>
        <v/>
      </c>
      <c r="CJ89" s="142" t="str">
        <f t="shared" si="76"/>
        <v/>
      </c>
      <c r="CK89" s="142" t="str">
        <f t="shared" si="65"/>
        <v/>
      </c>
      <c r="CL89" s="5"/>
      <c r="CM89" s="5"/>
      <c r="CN89" s="34">
        <f t="shared" si="66"/>
        <v>0</v>
      </c>
      <c r="CO89" s="34">
        <f t="shared" si="66"/>
        <v>0</v>
      </c>
      <c r="CP89" s="34">
        <f t="shared" si="67"/>
        <v>0</v>
      </c>
      <c r="CQ89" s="34">
        <f t="shared" si="68"/>
        <v>0</v>
      </c>
      <c r="CR89" s="34">
        <f t="shared" si="69"/>
        <v>0</v>
      </c>
      <c r="CS89" s="34">
        <f t="shared" si="70"/>
        <v>0</v>
      </c>
      <c r="CT89" s="34">
        <f t="shared" si="71"/>
        <v>0</v>
      </c>
      <c r="CU89" s="34">
        <f t="shared" si="71"/>
        <v>0</v>
      </c>
      <c r="CV89" s="34">
        <f t="shared" si="71"/>
        <v>0</v>
      </c>
      <c r="CW89" s="34">
        <f t="shared" si="72"/>
        <v>0</v>
      </c>
      <c r="CX89" s="34">
        <f t="shared" si="73"/>
        <v>0</v>
      </c>
      <c r="DK89" s="5"/>
      <c r="DL89" s="5"/>
      <c r="DM89" s="5"/>
      <c r="DN89" s="5"/>
      <c r="DO89" s="5"/>
      <c r="DP89" s="5"/>
      <c r="DQ89" s="5"/>
      <c r="DR89" s="5"/>
      <c r="DS89" s="5"/>
      <c r="DT89" s="5"/>
    </row>
    <row r="90" spans="1:124" s="800" customFormat="1" ht="15" customHeight="1">
      <c r="A90" s="2433"/>
      <c r="B90" s="1230" t="s">
        <v>600</v>
      </c>
      <c r="C90" s="965">
        <f t="shared" si="79"/>
        <v>0</v>
      </c>
      <c r="D90" s="927"/>
      <c r="E90" s="1144">
        <f>K90+M90+O90+Q90+S90+U90+W90+Y90+AA90+AC90</f>
        <v>0</v>
      </c>
      <c r="F90" s="713"/>
      <c r="G90" s="714"/>
      <c r="H90" s="713"/>
      <c r="I90" s="714"/>
      <c r="J90" s="713"/>
      <c r="K90" s="710"/>
      <c r="L90" s="713"/>
      <c r="M90" s="710"/>
      <c r="N90" s="713"/>
      <c r="O90" s="710"/>
      <c r="P90" s="713"/>
      <c r="Q90" s="710"/>
      <c r="R90" s="713"/>
      <c r="S90" s="710"/>
      <c r="T90" s="713"/>
      <c r="U90" s="710"/>
      <c r="V90" s="713"/>
      <c r="W90" s="710"/>
      <c r="X90" s="713"/>
      <c r="Y90" s="710"/>
      <c r="Z90" s="713"/>
      <c r="AA90" s="710"/>
      <c r="AB90" s="713"/>
      <c r="AC90" s="710"/>
      <c r="AD90" s="713"/>
      <c r="AE90" s="714"/>
      <c r="AF90" s="713"/>
      <c r="AG90" s="714"/>
      <c r="AH90" s="713"/>
      <c r="AI90" s="714"/>
      <c r="AJ90" s="713"/>
      <c r="AK90" s="714"/>
      <c r="AL90" s="713"/>
      <c r="AM90" s="1231"/>
      <c r="AN90" s="1232"/>
      <c r="AO90" s="1143"/>
      <c r="AP90" s="713"/>
      <c r="AQ90" s="900"/>
      <c r="AR90" s="927"/>
      <c r="AS90" s="710"/>
      <c r="AT90" s="710"/>
      <c r="AU90" s="710"/>
      <c r="AV90" s="710"/>
      <c r="AW90" s="710"/>
      <c r="AX90" s="710"/>
      <c r="AY90" s="1121" t="str">
        <f t="shared" si="57"/>
        <v/>
      </c>
      <c r="AZ90" s="1140"/>
      <c r="BA90" s="1140"/>
      <c r="BB90" s="1140"/>
      <c r="CA90" s="35"/>
      <c r="CB90" s="142" t="str">
        <f t="shared" si="59"/>
        <v/>
      </c>
      <c r="CC90" s="35"/>
      <c r="CD90" s="142" t="str">
        <f>IF(AND(E90&gt;0,OR(AQ90=""))," * No olvide digitar la variable Pueblos Originarios Mujeres. Digite Cero si no tiene.",IF(AQ90&gt;E90," * La variable Pueblos Originarios Mujeres no puede ser Mayor al Total Mujeres.",""))</f>
        <v/>
      </c>
      <c r="CE90" s="35"/>
      <c r="CF90" s="142" t="str">
        <f>IF(AND($E90&gt;0,OR(AS90=""))," * No olvide digitar la variable Migrantes Mujeres. Digite Cero si no tiene.",IF(AS90&gt;$E90," * La variable Migrantes Mujeres no puede ser Mayor al Total Mujeres.",""))</f>
        <v/>
      </c>
      <c r="CG90" s="142" t="str">
        <f t="shared" si="74"/>
        <v/>
      </c>
      <c r="CH90" s="142" t="str">
        <f t="shared" si="75"/>
        <v/>
      </c>
      <c r="CI90" s="142" t="str">
        <f>IF(AND(C90&gt;0,OR(AV90=""))," * No olvide digitar la variable Plan Cuidado Integral Elaborado. Digite Cero si no tiene.",IF($AV90&gt;$C90,"* La variable Plan Cuidado Integral Elaborado debe ser menor o igual al Total de Personas en control. ",""))</f>
        <v/>
      </c>
      <c r="CJ90" s="142" t="str">
        <f t="shared" si="76"/>
        <v/>
      </c>
      <c r="CK90" s="35"/>
      <c r="CL90" s="5"/>
      <c r="CM90" s="5"/>
      <c r="CN90" s="35"/>
      <c r="CO90" s="34">
        <f t="shared" si="66"/>
        <v>0</v>
      </c>
      <c r="CP90" s="35"/>
      <c r="CQ90" s="34">
        <f t="shared" si="68"/>
        <v>0</v>
      </c>
      <c r="CR90" s="35"/>
      <c r="CS90" s="34">
        <f t="shared" si="70"/>
        <v>0</v>
      </c>
      <c r="CT90" s="34">
        <f t="shared" si="71"/>
        <v>0</v>
      </c>
      <c r="CU90" s="34">
        <f t="shared" si="71"/>
        <v>0</v>
      </c>
      <c r="CV90" s="34">
        <f t="shared" si="71"/>
        <v>0</v>
      </c>
      <c r="CW90" s="34">
        <f t="shared" si="72"/>
        <v>0</v>
      </c>
      <c r="CX90" s="35"/>
      <c r="DK90" s="5"/>
      <c r="DL90" s="5"/>
      <c r="DM90" s="5"/>
      <c r="DN90" s="5"/>
      <c r="DO90" s="5"/>
      <c r="DP90" s="5"/>
      <c r="DQ90" s="5"/>
      <c r="DR90" s="5"/>
      <c r="DS90" s="5"/>
      <c r="DT90" s="5"/>
    </row>
    <row r="91" spans="1:124" s="800" customFormat="1" ht="15" customHeight="1">
      <c r="A91" s="2433"/>
      <c r="B91" s="1218" t="s">
        <v>601</v>
      </c>
      <c r="C91" s="1260">
        <f t="shared" si="79"/>
        <v>0</v>
      </c>
      <c r="D91" s="733">
        <f t="shared" ref="D91:E98" si="80">+F91+H91+J91+L91+N91+P91+R91+T91+V91+X91+Z91+AB91+AD91+AF91+AH91+AJ91+AL91</f>
        <v>0</v>
      </c>
      <c r="E91" s="1131">
        <f t="shared" si="80"/>
        <v>0</v>
      </c>
      <c r="F91" s="735"/>
      <c r="G91" s="729"/>
      <c r="H91" s="735"/>
      <c r="I91" s="729"/>
      <c r="J91" s="735"/>
      <c r="K91" s="729"/>
      <c r="L91" s="735"/>
      <c r="M91" s="729"/>
      <c r="N91" s="735"/>
      <c r="O91" s="729"/>
      <c r="P91" s="735"/>
      <c r="Q91" s="729"/>
      <c r="R91" s="735"/>
      <c r="S91" s="729"/>
      <c r="T91" s="735"/>
      <c r="U91" s="729"/>
      <c r="V91" s="735"/>
      <c r="W91" s="729"/>
      <c r="X91" s="735"/>
      <c r="Y91" s="729"/>
      <c r="Z91" s="735"/>
      <c r="AA91" s="729"/>
      <c r="AB91" s="735"/>
      <c r="AC91" s="729"/>
      <c r="AD91" s="735"/>
      <c r="AE91" s="729"/>
      <c r="AF91" s="735"/>
      <c r="AG91" s="729"/>
      <c r="AH91" s="735"/>
      <c r="AI91" s="729"/>
      <c r="AJ91" s="735"/>
      <c r="AK91" s="729"/>
      <c r="AL91" s="735"/>
      <c r="AM91" s="1233"/>
      <c r="AN91" s="1234"/>
      <c r="AO91" s="1148"/>
      <c r="AP91" s="735"/>
      <c r="AQ91" s="1149"/>
      <c r="AR91" s="942"/>
      <c r="AS91" s="729"/>
      <c r="AT91" s="729"/>
      <c r="AU91" s="729"/>
      <c r="AV91" s="729"/>
      <c r="AW91" s="729"/>
      <c r="AX91" s="729"/>
      <c r="AY91" s="1121" t="str">
        <f t="shared" si="57"/>
        <v/>
      </c>
      <c r="AZ91" s="1140"/>
      <c r="BA91" s="1140"/>
      <c r="BB91" s="1140"/>
      <c r="CA91" s="142" t="str">
        <f t="shared" ref="CA91:CA105" si="81">IF(AND(E91&gt;0,OR(AN91=""))," * No olvide digitar la variable Gestantes. Digite Cero si no tiene.",IF(AN91&gt;E91," * La variable Gestantes no puede ser Mayor al Total Mujeres.",""))</f>
        <v/>
      </c>
      <c r="CB91" s="142" t="str">
        <f t="shared" si="59"/>
        <v/>
      </c>
      <c r="CC91" s="142" t="str">
        <f t="shared" ref="CC91:CC105" si="82">IF(AND(D91&gt;0,OR(AP91=""))," * No olvide digitar la variable Pueblos Originarios Hombres. Digite Cero si no tiene.",IF(AP91&gt;D91," * La variable Pueblos Originarios Hombres no puede ser Mayor al Total Hombres.",""))</f>
        <v/>
      </c>
      <c r="CD91" s="142" t="str">
        <f t="shared" ref="CD91:CD120" si="83">IF(AND(E91&gt;0,OR(AQ91=""))," * No olvide digitar la variable Pueblos Originarios Mujeres. Digite Cero si no tiene.",IF(AQ91&gt;E91," * La variable Pueblos Originarios Mujeres no puede ser Mayor al Total Mujeres.",""))</f>
        <v/>
      </c>
      <c r="CE91" s="142" t="str">
        <f t="shared" ref="CE91:CE120" si="84">IF(AND($D91&gt;0,OR(AR91=""))," * No olvide digitar la variable Migrantes Hombres. Digite Cero si no tiene.",IF(AR91&gt;$D91," * La variable Migrantes Hombres no puede ser Mayor al Total Hombres.",""))</f>
        <v/>
      </c>
      <c r="CF91" s="142" t="str">
        <f t="shared" ref="CF91:CF120" si="85">IF(AND($E91&gt;0,OR(AS91=""))," * No olvide digitar la variable Migrantes Mujeres. Digite Cero si no tiene.",IF(AS91&gt;$E91," * La variable Migrantes Mujeres no puede ser Mayor al Total Mujeres.",""))</f>
        <v/>
      </c>
      <c r="CG91" s="142" t="str">
        <f t="shared" si="74"/>
        <v/>
      </c>
      <c r="CH91" s="142" t="str">
        <f t="shared" si="75"/>
        <v/>
      </c>
      <c r="CI91" s="142" t="str">
        <f t="shared" ref="CI91:CI120" si="86">IF(AND(C91&gt;0,OR(AV91=""))," * No olvide digitar la variable Plan Cuidado Integral Elaborado. Digite Cero si no tiene.",IF($AV91&gt;$C91,"* La variable Plan Cuidado Integral Elaborado debe ser menor o igual al Total de Personas en control. ",""))</f>
        <v/>
      </c>
      <c r="CJ91" s="142" t="str">
        <f t="shared" si="76"/>
        <v/>
      </c>
      <c r="CK91" s="142" t="str">
        <f t="shared" ref="CK91:CK120" si="87">IF(AND(D91&gt;0,OR(AX91=""))," * No olvide digitar la variable Trans Femenino. (Digite Cero si no tiene).",IF(AX91&gt;D91," * La variable Trans Femenino no debe ser mayor al Total Hombre.",""))</f>
        <v/>
      </c>
      <c r="CL91" s="5"/>
      <c r="CM91" s="5"/>
      <c r="CN91" s="34">
        <f t="shared" ref="CN91:CO105" si="88">IF(AND($E91&gt;0,OR(AN91="")),1,IF(AN91&gt;$E91,1,0))</f>
        <v>0</v>
      </c>
      <c r="CO91" s="34">
        <f t="shared" si="66"/>
        <v>0</v>
      </c>
      <c r="CP91" s="34">
        <f t="shared" ref="CP91:CP100" si="89">IF(AND($D91&gt;0,OR(AP91="")),1,IF(AP91&gt;$D91,1,0))</f>
        <v>0</v>
      </c>
      <c r="CQ91" s="34">
        <f t="shared" si="68"/>
        <v>0</v>
      </c>
      <c r="CR91" s="34">
        <f t="shared" ref="CR91:CR100" si="90">IF(AND($D91&gt;0,OR(AR91="")),1,IF(AR91&gt;$D91,1,0))</f>
        <v>0</v>
      </c>
      <c r="CS91" s="34">
        <f t="shared" si="70"/>
        <v>0</v>
      </c>
      <c r="CT91" s="34">
        <f t="shared" si="71"/>
        <v>0</v>
      </c>
      <c r="CU91" s="34">
        <f t="shared" si="71"/>
        <v>0</v>
      </c>
      <c r="CV91" s="34">
        <f t="shared" si="71"/>
        <v>0</v>
      </c>
      <c r="CW91" s="34">
        <f t="shared" si="72"/>
        <v>0</v>
      </c>
      <c r="CX91" s="34">
        <f t="shared" ref="CX91:CX120" si="91">IF(AND(D91&gt;0,OR(AX91="")),1,IF(AX91&gt;$D91,1,0))</f>
        <v>0</v>
      </c>
      <c r="DK91" s="5"/>
      <c r="DL91" s="5"/>
      <c r="DM91" s="5"/>
      <c r="DN91" s="5"/>
      <c r="DO91" s="5"/>
      <c r="DP91" s="5"/>
      <c r="DQ91" s="5"/>
      <c r="DR91" s="5"/>
      <c r="DS91" s="5"/>
      <c r="DT91" s="5"/>
    </row>
    <row r="92" spans="1:124" s="800" customFormat="1" ht="15" customHeight="1">
      <c r="A92" s="2433" t="s">
        <v>647</v>
      </c>
      <c r="B92" s="1235" t="s">
        <v>603</v>
      </c>
      <c r="C92" s="1260">
        <f t="shared" si="79"/>
        <v>0</v>
      </c>
      <c r="D92" s="697">
        <f t="shared" si="80"/>
        <v>0</v>
      </c>
      <c r="E92" s="1137">
        <f t="shared" si="80"/>
        <v>0</v>
      </c>
      <c r="F92" s="699"/>
      <c r="G92" s="700"/>
      <c r="H92" s="699"/>
      <c r="I92" s="700"/>
      <c r="J92" s="699"/>
      <c r="K92" s="700"/>
      <c r="L92" s="699"/>
      <c r="M92" s="700"/>
      <c r="N92" s="699"/>
      <c r="O92" s="700"/>
      <c r="P92" s="699"/>
      <c r="Q92" s="700"/>
      <c r="R92" s="699"/>
      <c r="S92" s="700"/>
      <c r="T92" s="699"/>
      <c r="U92" s="700"/>
      <c r="V92" s="699"/>
      <c r="W92" s="700"/>
      <c r="X92" s="699"/>
      <c r="Y92" s="700"/>
      <c r="Z92" s="699"/>
      <c r="AA92" s="700"/>
      <c r="AB92" s="699"/>
      <c r="AC92" s="700"/>
      <c r="AD92" s="699"/>
      <c r="AE92" s="700"/>
      <c r="AF92" s="699"/>
      <c r="AG92" s="700"/>
      <c r="AH92" s="699"/>
      <c r="AI92" s="700"/>
      <c r="AJ92" s="699"/>
      <c r="AK92" s="700"/>
      <c r="AL92" s="699"/>
      <c r="AM92" s="1216"/>
      <c r="AN92" s="1217"/>
      <c r="AO92" s="1127"/>
      <c r="AP92" s="699"/>
      <c r="AQ92" s="783"/>
      <c r="AR92" s="784"/>
      <c r="AS92" s="700"/>
      <c r="AT92" s="700"/>
      <c r="AU92" s="700"/>
      <c r="AV92" s="700"/>
      <c r="AW92" s="700"/>
      <c r="AX92" s="700"/>
      <c r="AY92" s="1121" t="str">
        <f t="shared" si="57"/>
        <v/>
      </c>
      <c r="AZ92" s="1140"/>
      <c r="BA92" s="1140"/>
      <c r="BB92" s="1140"/>
      <c r="CA92" s="142" t="str">
        <f t="shared" si="81"/>
        <v/>
      </c>
      <c r="CB92" s="142" t="str">
        <f t="shared" si="59"/>
        <v/>
      </c>
      <c r="CC92" s="142" t="str">
        <f t="shared" si="82"/>
        <v/>
      </c>
      <c r="CD92" s="142" t="str">
        <f t="shared" si="83"/>
        <v/>
      </c>
      <c r="CE92" s="142" t="str">
        <f t="shared" si="84"/>
        <v/>
      </c>
      <c r="CF92" s="142" t="str">
        <f t="shared" si="85"/>
        <v/>
      </c>
      <c r="CG92" s="142" t="str">
        <f t="shared" si="74"/>
        <v/>
      </c>
      <c r="CH92" s="142" t="str">
        <f t="shared" si="75"/>
        <v/>
      </c>
      <c r="CI92" s="142" t="str">
        <f t="shared" si="86"/>
        <v/>
      </c>
      <c r="CJ92" s="142" t="str">
        <f t="shared" si="76"/>
        <v/>
      </c>
      <c r="CK92" s="142" t="str">
        <f t="shared" si="87"/>
        <v/>
      </c>
      <c r="CL92" s="5"/>
      <c r="CM92" s="5"/>
      <c r="CN92" s="34">
        <f t="shared" si="88"/>
        <v>0</v>
      </c>
      <c r="CO92" s="34">
        <f t="shared" si="66"/>
        <v>0</v>
      </c>
      <c r="CP92" s="34">
        <f t="shared" si="89"/>
        <v>0</v>
      </c>
      <c r="CQ92" s="34">
        <f t="shared" si="68"/>
        <v>0</v>
      </c>
      <c r="CR92" s="34">
        <f t="shared" si="90"/>
        <v>0</v>
      </c>
      <c r="CS92" s="34">
        <f t="shared" si="70"/>
        <v>0</v>
      </c>
      <c r="CT92" s="34">
        <f t="shared" si="71"/>
        <v>0</v>
      </c>
      <c r="CU92" s="34">
        <f t="shared" si="71"/>
        <v>0</v>
      </c>
      <c r="CV92" s="34">
        <f t="shared" si="71"/>
        <v>0</v>
      </c>
      <c r="CW92" s="34">
        <f t="shared" si="72"/>
        <v>0</v>
      </c>
      <c r="CX92" s="34">
        <f t="shared" si="91"/>
        <v>0</v>
      </c>
      <c r="DK92" s="5"/>
      <c r="DL92" s="5"/>
      <c r="DM92" s="5"/>
      <c r="DN92" s="5"/>
      <c r="DO92" s="5"/>
      <c r="DP92" s="5"/>
      <c r="DQ92" s="5"/>
      <c r="DR92" s="5"/>
      <c r="DS92" s="5"/>
      <c r="DT92" s="5"/>
    </row>
    <row r="93" spans="1:124" s="800" customFormat="1" ht="15" customHeight="1">
      <c r="A93" s="2433"/>
      <c r="B93" s="1159" t="s">
        <v>604</v>
      </c>
      <c r="C93" s="1260">
        <f t="shared" si="79"/>
        <v>0</v>
      </c>
      <c r="D93" s="707">
        <f t="shared" si="80"/>
        <v>0</v>
      </c>
      <c r="E93" s="1144">
        <f t="shared" si="80"/>
        <v>0</v>
      </c>
      <c r="F93" s="709"/>
      <c r="G93" s="710"/>
      <c r="H93" s="709"/>
      <c r="I93" s="710"/>
      <c r="J93" s="709"/>
      <c r="K93" s="710"/>
      <c r="L93" s="709"/>
      <c r="M93" s="710"/>
      <c r="N93" s="709"/>
      <c r="O93" s="710"/>
      <c r="P93" s="709"/>
      <c r="Q93" s="710"/>
      <c r="R93" s="709"/>
      <c r="S93" s="710"/>
      <c r="T93" s="709"/>
      <c r="U93" s="710"/>
      <c r="V93" s="709"/>
      <c r="W93" s="710"/>
      <c r="X93" s="709"/>
      <c r="Y93" s="710"/>
      <c r="Z93" s="709"/>
      <c r="AA93" s="710"/>
      <c r="AB93" s="709"/>
      <c r="AC93" s="710"/>
      <c r="AD93" s="709"/>
      <c r="AE93" s="710"/>
      <c r="AF93" s="709"/>
      <c r="AG93" s="710"/>
      <c r="AH93" s="709"/>
      <c r="AI93" s="710"/>
      <c r="AJ93" s="709"/>
      <c r="AK93" s="710"/>
      <c r="AL93" s="709"/>
      <c r="AM93" s="1228"/>
      <c r="AN93" s="1229"/>
      <c r="AO93" s="1143"/>
      <c r="AP93" s="709"/>
      <c r="AQ93" s="900"/>
      <c r="AR93" s="928"/>
      <c r="AS93" s="710"/>
      <c r="AT93" s="710"/>
      <c r="AU93" s="710"/>
      <c r="AV93" s="710"/>
      <c r="AW93" s="710"/>
      <c r="AX93" s="710"/>
      <c r="AY93" s="1121" t="str">
        <f t="shared" si="57"/>
        <v/>
      </c>
      <c r="AZ93" s="1140"/>
      <c r="BA93" s="1140"/>
      <c r="BB93" s="1140"/>
      <c r="CA93" s="142" t="str">
        <f t="shared" si="81"/>
        <v/>
      </c>
      <c r="CB93" s="142" t="str">
        <f t="shared" si="59"/>
        <v/>
      </c>
      <c r="CC93" s="142" t="str">
        <f t="shared" si="82"/>
        <v/>
      </c>
      <c r="CD93" s="142" t="str">
        <f t="shared" si="83"/>
        <v/>
      </c>
      <c r="CE93" s="142" t="str">
        <f t="shared" si="84"/>
        <v/>
      </c>
      <c r="CF93" s="142" t="str">
        <f t="shared" si="85"/>
        <v/>
      </c>
      <c r="CG93" s="142" t="str">
        <f t="shared" si="74"/>
        <v/>
      </c>
      <c r="CH93" s="142" t="str">
        <f t="shared" si="75"/>
        <v/>
      </c>
      <c r="CI93" s="142" t="str">
        <f t="shared" si="86"/>
        <v/>
      </c>
      <c r="CJ93" s="142" t="str">
        <f t="shared" si="76"/>
        <v/>
      </c>
      <c r="CK93" s="142" t="str">
        <f t="shared" si="87"/>
        <v/>
      </c>
      <c r="CL93" s="5"/>
      <c r="CM93" s="5"/>
      <c r="CN93" s="34">
        <f t="shared" si="88"/>
        <v>0</v>
      </c>
      <c r="CO93" s="34">
        <f t="shared" si="88"/>
        <v>0</v>
      </c>
      <c r="CP93" s="34">
        <f t="shared" si="89"/>
        <v>0</v>
      </c>
      <c r="CQ93" s="34">
        <f t="shared" si="68"/>
        <v>0</v>
      </c>
      <c r="CR93" s="34">
        <f t="shared" si="90"/>
        <v>0</v>
      </c>
      <c r="CS93" s="34">
        <f t="shared" si="70"/>
        <v>0</v>
      </c>
      <c r="CT93" s="34">
        <f t="shared" si="71"/>
        <v>0</v>
      </c>
      <c r="CU93" s="34">
        <f t="shared" si="71"/>
        <v>0</v>
      </c>
      <c r="CV93" s="34">
        <f t="shared" si="71"/>
        <v>0</v>
      </c>
      <c r="CW93" s="34">
        <f t="shared" si="72"/>
        <v>0</v>
      </c>
      <c r="CX93" s="34">
        <f t="shared" si="91"/>
        <v>0</v>
      </c>
      <c r="DK93" s="5"/>
      <c r="DL93" s="5"/>
      <c r="DM93" s="5"/>
      <c r="DN93" s="5"/>
      <c r="DO93" s="5"/>
      <c r="DP93" s="5"/>
      <c r="DQ93" s="5"/>
      <c r="DR93" s="5"/>
      <c r="DS93" s="5"/>
      <c r="DT93" s="5"/>
    </row>
    <row r="94" spans="1:124" s="800" customFormat="1" ht="15" customHeight="1">
      <c r="A94" s="2433"/>
      <c r="B94" s="1236" t="s">
        <v>605</v>
      </c>
      <c r="C94" s="1260">
        <f t="shared" si="79"/>
        <v>0</v>
      </c>
      <c r="D94" s="720">
        <f>+F94+H94+J94+L94+N94+P94+R94+T94+V94+X94+Z94+AB94+AD94+AF94+AH94+AJ94+AL94</f>
        <v>0</v>
      </c>
      <c r="E94" s="1146">
        <f t="shared" si="80"/>
        <v>0</v>
      </c>
      <c r="F94" s="735"/>
      <c r="G94" s="729"/>
      <c r="H94" s="735"/>
      <c r="I94" s="729"/>
      <c r="J94" s="735"/>
      <c r="K94" s="729"/>
      <c r="L94" s="735"/>
      <c r="M94" s="729"/>
      <c r="N94" s="735"/>
      <c r="O94" s="729"/>
      <c r="P94" s="735"/>
      <c r="Q94" s="729"/>
      <c r="R94" s="735"/>
      <c r="S94" s="729"/>
      <c r="T94" s="735"/>
      <c r="U94" s="729"/>
      <c r="V94" s="735"/>
      <c r="W94" s="729"/>
      <c r="X94" s="735"/>
      <c r="Y94" s="729"/>
      <c r="Z94" s="735"/>
      <c r="AA94" s="729"/>
      <c r="AB94" s="735"/>
      <c r="AC94" s="729"/>
      <c r="AD94" s="735"/>
      <c r="AE94" s="729"/>
      <c r="AF94" s="735"/>
      <c r="AG94" s="729"/>
      <c r="AH94" s="735"/>
      <c r="AI94" s="729"/>
      <c r="AJ94" s="735"/>
      <c r="AK94" s="729"/>
      <c r="AL94" s="735"/>
      <c r="AM94" s="1233"/>
      <c r="AN94" s="1234"/>
      <c r="AO94" s="1148"/>
      <c r="AP94" s="735"/>
      <c r="AQ94" s="1149"/>
      <c r="AR94" s="942"/>
      <c r="AS94" s="729"/>
      <c r="AT94" s="729"/>
      <c r="AU94" s="729"/>
      <c r="AV94" s="729"/>
      <c r="AW94" s="729"/>
      <c r="AX94" s="729"/>
      <c r="AY94" s="1121" t="str">
        <f t="shared" si="57"/>
        <v/>
      </c>
      <c r="AZ94" s="1140"/>
      <c r="BA94" s="1140"/>
      <c r="BB94" s="1140"/>
      <c r="CA94" s="142" t="str">
        <f t="shared" si="81"/>
        <v/>
      </c>
      <c r="CB94" s="142" t="str">
        <f t="shared" si="59"/>
        <v/>
      </c>
      <c r="CC94" s="142" t="str">
        <f t="shared" si="82"/>
        <v/>
      </c>
      <c r="CD94" s="142" t="str">
        <f t="shared" si="83"/>
        <v/>
      </c>
      <c r="CE94" s="142" t="str">
        <f t="shared" si="84"/>
        <v/>
      </c>
      <c r="CF94" s="142" t="str">
        <f t="shared" si="85"/>
        <v/>
      </c>
      <c r="CG94" s="142" t="str">
        <f t="shared" si="74"/>
        <v/>
      </c>
      <c r="CH94" s="142" t="str">
        <f t="shared" si="75"/>
        <v/>
      </c>
      <c r="CI94" s="142" t="str">
        <f t="shared" si="86"/>
        <v/>
      </c>
      <c r="CJ94" s="142" t="str">
        <f t="shared" si="76"/>
        <v/>
      </c>
      <c r="CK94" s="142" t="str">
        <f t="shared" si="87"/>
        <v/>
      </c>
      <c r="CL94" s="5"/>
      <c r="CM94" s="5"/>
      <c r="CN94" s="34">
        <f t="shared" si="88"/>
        <v>0</v>
      </c>
      <c r="CO94" s="34">
        <f t="shared" si="88"/>
        <v>0</v>
      </c>
      <c r="CP94" s="34">
        <f t="shared" si="89"/>
        <v>0</v>
      </c>
      <c r="CQ94" s="34">
        <f t="shared" si="68"/>
        <v>0</v>
      </c>
      <c r="CR94" s="34">
        <f t="shared" si="90"/>
        <v>0</v>
      </c>
      <c r="CS94" s="34">
        <f t="shared" si="70"/>
        <v>0</v>
      </c>
      <c r="CT94" s="34">
        <f t="shared" si="71"/>
        <v>0</v>
      </c>
      <c r="CU94" s="34">
        <f t="shared" si="71"/>
        <v>0</v>
      </c>
      <c r="CV94" s="34">
        <f t="shared" si="71"/>
        <v>0</v>
      </c>
      <c r="CW94" s="34">
        <f t="shared" si="72"/>
        <v>0</v>
      </c>
      <c r="CX94" s="34">
        <f t="shared" si="91"/>
        <v>0</v>
      </c>
      <c r="DK94" s="5"/>
      <c r="DL94" s="5"/>
      <c r="DM94" s="5"/>
      <c r="DN94" s="5"/>
      <c r="DO94" s="5"/>
      <c r="DP94" s="5"/>
      <c r="DQ94" s="5"/>
      <c r="DR94" s="5"/>
      <c r="DS94" s="5"/>
      <c r="DT94" s="5"/>
    </row>
    <row r="95" spans="1:124" s="800" customFormat="1" ht="15" customHeight="1">
      <c r="A95" s="2433"/>
      <c r="B95" s="1236" t="s">
        <v>606</v>
      </c>
      <c r="C95" s="1260">
        <f t="shared" si="79"/>
        <v>0</v>
      </c>
      <c r="D95" s="720">
        <f t="shared" si="80"/>
        <v>0</v>
      </c>
      <c r="E95" s="1146">
        <f t="shared" si="80"/>
        <v>0</v>
      </c>
      <c r="F95" s="735"/>
      <c r="G95" s="729"/>
      <c r="H95" s="735"/>
      <c r="I95" s="729"/>
      <c r="J95" s="735"/>
      <c r="K95" s="729"/>
      <c r="L95" s="735"/>
      <c r="M95" s="729"/>
      <c r="N95" s="735"/>
      <c r="O95" s="729"/>
      <c r="P95" s="735"/>
      <c r="Q95" s="729"/>
      <c r="R95" s="735"/>
      <c r="S95" s="729"/>
      <c r="T95" s="735"/>
      <c r="U95" s="729"/>
      <c r="V95" s="735"/>
      <c r="W95" s="729"/>
      <c r="X95" s="735"/>
      <c r="Y95" s="729"/>
      <c r="Z95" s="735"/>
      <c r="AA95" s="729"/>
      <c r="AB95" s="735"/>
      <c r="AC95" s="729"/>
      <c r="AD95" s="735"/>
      <c r="AE95" s="729"/>
      <c r="AF95" s="735"/>
      <c r="AG95" s="729"/>
      <c r="AH95" s="735"/>
      <c r="AI95" s="729"/>
      <c r="AJ95" s="735"/>
      <c r="AK95" s="729"/>
      <c r="AL95" s="735"/>
      <c r="AM95" s="1233"/>
      <c r="AN95" s="1234"/>
      <c r="AO95" s="1148"/>
      <c r="AP95" s="735"/>
      <c r="AQ95" s="1149"/>
      <c r="AR95" s="942"/>
      <c r="AS95" s="729"/>
      <c r="AT95" s="729"/>
      <c r="AU95" s="729"/>
      <c r="AV95" s="729"/>
      <c r="AW95" s="729"/>
      <c r="AX95" s="729"/>
      <c r="AY95" s="1121" t="str">
        <f t="shared" si="57"/>
        <v/>
      </c>
      <c r="AZ95" s="1140"/>
      <c r="BA95" s="1140"/>
      <c r="BB95" s="1140"/>
      <c r="CA95" s="142" t="str">
        <f t="shared" si="81"/>
        <v/>
      </c>
      <c r="CB95" s="142" t="str">
        <f t="shared" si="59"/>
        <v/>
      </c>
      <c r="CC95" s="142" t="str">
        <f t="shared" si="82"/>
        <v/>
      </c>
      <c r="CD95" s="142" t="str">
        <f t="shared" si="83"/>
        <v/>
      </c>
      <c r="CE95" s="142" t="str">
        <f t="shared" si="84"/>
        <v/>
      </c>
      <c r="CF95" s="142" t="str">
        <f t="shared" si="85"/>
        <v/>
      </c>
      <c r="CG95" s="142" t="str">
        <f t="shared" si="74"/>
        <v/>
      </c>
      <c r="CH95" s="142" t="str">
        <f t="shared" si="75"/>
        <v/>
      </c>
      <c r="CI95" s="142" t="str">
        <f t="shared" si="86"/>
        <v/>
      </c>
      <c r="CJ95" s="142" t="str">
        <f t="shared" si="76"/>
        <v/>
      </c>
      <c r="CK95" s="142" t="str">
        <f t="shared" si="87"/>
        <v/>
      </c>
      <c r="CL95" s="5"/>
      <c r="CM95" s="5"/>
      <c r="CN95" s="34">
        <f t="shared" si="88"/>
        <v>0</v>
      </c>
      <c r="CO95" s="34">
        <f t="shared" si="88"/>
        <v>0</v>
      </c>
      <c r="CP95" s="34">
        <f t="shared" si="89"/>
        <v>0</v>
      </c>
      <c r="CQ95" s="34">
        <f t="shared" si="68"/>
        <v>0</v>
      </c>
      <c r="CR95" s="34">
        <f t="shared" si="90"/>
        <v>0</v>
      </c>
      <c r="CS95" s="34">
        <f t="shared" si="70"/>
        <v>0</v>
      </c>
      <c r="CT95" s="34">
        <f t="shared" si="71"/>
        <v>0</v>
      </c>
      <c r="CU95" s="34">
        <f t="shared" si="71"/>
        <v>0</v>
      </c>
      <c r="CV95" s="34">
        <f t="shared" si="71"/>
        <v>0</v>
      </c>
      <c r="CW95" s="34">
        <f t="shared" si="72"/>
        <v>0</v>
      </c>
      <c r="CX95" s="34">
        <f t="shared" si="91"/>
        <v>0</v>
      </c>
      <c r="DK95" s="5"/>
      <c r="DL95" s="5"/>
      <c r="DM95" s="5"/>
      <c r="DN95" s="5"/>
      <c r="DO95" s="5"/>
      <c r="DP95" s="5"/>
      <c r="DQ95" s="5"/>
      <c r="DR95" s="5"/>
      <c r="DS95" s="5"/>
      <c r="DT95" s="5"/>
    </row>
    <row r="96" spans="1:124" s="800" customFormat="1" ht="15" customHeight="1">
      <c r="A96" s="2433"/>
      <c r="B96" s="1237" t="s">
        <v>607</v>
      </c>
      <c r="C96" s="1260">
        <f t="shared" si="79"/>
        <v>0</v>
      </c>
      <c r="D96" s="720">
        <f t="shared" si="80"/>
        <v>0</v>
      </c>
      <c r="E96" s="1146">
        <f t="shared" si="80"/>
        <v>0</v>
      </c>
      <c r="F96" s="722"/>
      <c r="G96" s="723"/>
      <c r="H96" s="722"/>
      <c r="I96" s="723"/>
      <c r="J96" s="722"/>
      <c r="K96" s="723"/>
      <c r="L96" s="722"/>
      <c r="M96" s="723"/>
      <c r="N96" s="722"/>
      <c r="O96" s="723"/>
      <c r="P96" s="722"/>
      <c r="Q96" s="723"/>
      <c r="R96" s="722"/>
      <c r="S96" s="723"/>
      <c r="T96" s="722"/>
      <c r="U96" s="723"/>
      <c r="V96" s="722"/>
      <c r="W96" s="723"/>
      <c r="X96" s="722"/>
      <c r="Y96" s="723"/>
      <c r="Z96" s="722"/>
      <c r="AA96" s="723"/>
      <c r="AB96" s="722"/>
      <c r="AC96" s="723"/>
      <c r="AD96" s="722"/>
      <c r="AE96" s="723"/>
      <c r="AF96" s="722"/>
      <c r="AG96" s="723"/>
      <c r="AH96" s="722"/>
      <c r="AI96" s="723"/>
      <c r="AJ96" s="722"/>
      <c r="AK96" s="723"/>
      <c r="AL96" s="722"/>
      <c r="AM96" s="931"/>
      <c r="AN96" s="1220"/>
      <c r="AO96" s="1133"/>
      <c r="AP96" s="722"/>
      <c r="AQ96" s="850"/>
      <c r="AR96" s="852"/>
      <c r="AS96" s="723"/>
      <c r="AT96" s="723"/>
      <c r="AU96" s="723"/>
      <c r="AV96" s="723"/>
      <c r="AW96" s="723"/>
      <c r="AX96" s="723"/>
      <c r="AY96" s="1121" t="str">
        <f t="shared" si="57"/>
        <v/>
      </c>
      <c r="AZ96" s="1140"/>
      <c r="BA96" s="1140"/>
      <c r="BB96" s="1140"/>
      <c r="CA96" s="142" t="str">
        <f t="shared" si="81"/>
        <v/>
      </c>
      <c r="CB96" s="142" t="str">
        <f t="shared" si="59"/>
        <v/>
      </c>
      <c r="CC96" s="142" t="str">
        <f t="shared" si="82"/>
        <v/>
      </c>
      <c r="CD96" s="142" t="str">
        <f t="shared" si="83"/>
        <v/>
      </c>
      <c r="CE96" s="142" t="str">
        <f t="shared" si="84"/>
        <v/>
      </c>
      <c r="CF96" s="142" t="str">
        <f t="shared" si="85"/>
        <v/>
      </c>
      <c r="CG96" s="142" t="str">
        <f t="shared" si="74"/>
        <v/>
      </c>
      <c r="CH96" s="142" t="str">
        <f t="shared" si="75"/>
        <v/>
      </c>
      <c r="CI96" s="142" t="str">
        <f t="shared" si="86"/>
        <v/>
      </c>
      <c r="CJ96" s="142" t="str">
        <f t="shared" si="76"/>
        <v/>
      </c>
      <c r="CK96" s="142" t="str">
        <f t="shared" si="87"/>
        <v/>
      </c>
      <c r="CL96" s="5"/>
      <c r="CM96" s="5"/>
      <c r="CN96" s="34">
        <f t="shared" si="88"/>
        <v>0</v>
      </c>
      <c r="CO96" s="34">
        <f t="shared" si="88"/>
        <v>0</v>
      </c>
      <c r="CP96" s="34">
        <f t="shared" si="89"/>
        <v>0</v>
      </c>
      <c r="CQ96" s="34">
        <f t="shared" si="68"/>
        <v>0</v>
      </c>
      <c r="CR96" s="34">
        <f t="shared" si="90"/>
        <v>0</v>
      </c>
      <c r="CS96" s="34">
        <f t="shared" si="70"/>
        <v>0</v>
      </c>
      <c r="CT96" s="34">
        <f t="shared" si="71"/>
        <v>0</v>
      </c>
      <c r="CU96" s="34">
        <f t="shared" si="71"/>
        <v>0</v>
      </c>
      <c r="CV96" s="34">
        <f t="shared" si="71"/>
        <v>0</v>
      </c>
      <c r="CW96" s="34">
        <f t="shared" si="72"/>
        <v>0</v>
      </c>
      <c r="CX96" s="34">
        <f t="shared" si="91"/>
        <v>0</v>
      </c>
      <c r="DK96" s="5"/>
      <c r="DL96" s="5"/>
      <c r="DM96" s="5"/>
      <c r="DN96" s="5"/>
      <c r="DO96" s="5"/>
      <c r="DP96" s="5"/>
      <c r="DQ96" s="5"/>
      <c r="DR96" s="5"/>
      <c r="DS96" s="5"/>
      <c r="DT96" s="5"/>
    </row>
    <row r="97" spans="1:124" s="800" customFormat="1" ht="15" customHeight="1">
      <c r="A97" s="2179" t="s">
        <v>608</v>
      </c>
      <c r="B97" s="1238" t="s">
        <v>609</v>
      </c>
      <c r="C97" s="1261">
        <f t="shared" si="79"/>
        <v>0</v>
      </c>
      <c r="D97" s="697">
        <f t="shared" si="80"/>
        <v>0</v>
      </c>
      <c r="E97" s="1137">
        <f t="shared" si="80"/>
        <v>0</v>
      </c>
      <c r="F97" s="751"/>
      <c r="G97" s="752"/>
      <c r="H97" s="751"/>
      <c r="I97" s="752"/>
      <c r="J97" s="699"/>
      <c r="K97" s="700"/>
      <c r="L97" s="699"/>
      <c r="M97" s="700"/>
      <c r="N97" s="699"/>
      <c r="O97" s="700"/>
      <c r="P97" s="699"/>
      <c r="Q97" s="700"/>
      <c r="R97" s="699"/>
      <c r="S97" s="700"/>
      <c r="T97" s="699"/>
      <c r="U97" s="700"/>
      <c r="V97" s="699"/>
      <c r="W97" s="700"/>
      <c r="X97" s="699"/>
      <c r="Y97" s="700"/>
      <c r="Z97" s="699"/>
      <c r="AA97" s="700"/>
      <c r="AB97" s="699"/>
      <c r="AC97" s="700"/>
      <c r="AD97" s="699"/>
      <c r="AE97" s="700"/>
      <c r="AF97" s="699"/>
      <c r="AG97" s="700"/>
      <c r="AH97" s="699"/>
      <c r="AI97" s="700"/>
      <c r="AJ97" s="699"/>
      <c r="AK97" s="700"/>
      <c r="AL97" s="751"/>
      <c r="AM97" s="1239"/>
      <c r="AN97" s="1217"/>
      <c r="AO97" s="1240"/>
      <c r="AP97" s="751"/>
      <c r="AQ97" s="788"/>
      <c r="AR97" s="699"/>
      <c r="AS97" s="788"/>
      <c r="AT97" s="1129"/>
      <c r="AU97" s="1129"/>
      <c r="AV97" s="1129"/>
      <c r="AW97" s="1129"/>
      <c r="AX97" s="1129"/>
      <c r="AY97" s="1121" t="str">
        <f t="shared" si="57"/>
        <v/>
      </c>
      <c r="AZ97" s="1140"/>
      <c r="BA97" s="1140"/>
      <c r="BB97" s="1140"/>
      <c r="CA97" s="142" t="str">
        <f t="shared" si="81"/>
        <v/>
      </c>
      <c r="CB97" s="35"/>
      <c r="CC97" s="142" t="str">
        <f t="shared" si="82"/>
        <v/>
      </c>
      <c r="CD97" s="142" t="str">
        <f t="shared" si="83"/>
        <v/>
      </c>
      <c r="CE97" s="142" t="str">
        <f t="shared" si="84"/>
        <v/>
      </c>
      <c r="CF97" s="142" t="str">
        <f t="shared" si="85"/>
        <v/>
      </c>
      <c r="CG97" s="142" t="str">
        <f t="shared" si="74"/>
        <v/>
      </c>
      <c r="CH97" s="142" t="str">
        <f t="shared" si="75"/>
        <v/>
      </c>
      <c r="CI97" s="142" t="str">
        <f t="shared" si="86"/>
        <v/>
      </c>
      <c r="CJ97" s="142" t="str">
        <f t="shared" si="76"/>
        <v/>
      </c>
      <c r="CK97" s="142" t="str">
        <f t="shared" si="87"/>
        <v/>
      </c>
      <c r="CL97" s="5"/>
      <c r="CM97" s="5"/>
      <c r="CN97" s="34">
        <f t="shared" si="88"/>
        <v>0</v>
      </c>
      <c r="CO97" s="35"/>
      <c r="CP97" s="34">
        <f t="shared" si="89"/>
        <v>0</v>
      </c>
      <c r="CQ97" s="34">
        <f t="shared" si="68"/>
        <v>0</v>
      </c>
      <c r="CR97" s="34">
        <f t="shared" si="90"/>
        <v>0</v>
      </c>
      <c r="CS97" s="34">
        <f t="shared" si="70"/>
        <v>0</v>
      </c>
      <c r="CT97" s="34">
        <f t="shared" ref="CT97:CV112" si="92">IF(AND($C97&gt;0,OR(AT97="")),1,IF(AT97&gt;$C97,1,0))</f>
        <v>0</v>
      </c>
      <c r="CU97" s="34">
        <f t="shared" si="92"/>
        <v>0</v>
      </c>
      <c r="CV97" s="34">
        <f t="shared" si="92"/>
        <v>0</v>
      </c>
      <c r="CW97" s="34">
        <f t="shared" si="72"/>
        <v>0</v>
      </c>
      <c r="CX97" s="34">
        <f t="shared" si="91"/>
        <v>0</v>
      </c>
      <c r="DK97" s="5"/>
      <c r="DL97" s="5"/>
      <c r="DM97" s="5"/>
      <c r="DN97" s="5"/>
      <c r="DO97" s="5"/>
      <c r="DP97" s="5"/>
      <c r="DQ97" s="5"/>
      <c r="DR97" s="5"/>
      <c r="DS97" s="5"/>
      <c r="DT97" s="5"/>
    </row>
    <row r="98" spans="1:124" s="800" customFormat="1" ht="15" customHeight="1">
      <c r="A98" s="2180"/>
      <c r="B98" s="1241" t="s">
        <v>610</v>
      </c>
      <c r="C98" s="1262">
        <f t="shared" si="79"/>
        <v>0</v>
      </c>
      <c r="D98" s="707">
        <f t="shared" si="80"/>
        <v>0</v>
      </c>
      <c r="E98" s="1144">
        <f t="shared" si="80"/>
        <v>0</v>
      </c>
      <c r="F98" s="751"/>
      <c r="G98" s="752"/>
      <c r="H98" s="751"/>
      <c r="I98" s="752"/>
      <c r="J98" s="709"/>
      <c r="K98" s="710"/>
      <c r="L98" s="709"/>
      <c r="M98" s="710"/>
      <c r="N98" s="709"/>
      <c r="O98" s="710"/>
      <c r="P98" s="709"/>
      <c r="Q98" s="710"/>
      <c r="R98" s="709"/>
      <c r="S98" s="710"/>
      <c r="T98" s="751"/>
      <c r="U98" s="752"/>
      <c r="V98" s="908"/>
      <c r="W98" s="909"/>
      <c r="X98" s="751"/>
      <c r="Y98" s="752"/>
      <c r="Z98" s="751"/>
      <c r="AA98" s="752"/>
      <c r="AB98" s="751"/>
      <c r="AC98" s="752"/>
      <c r="AD98" s="751"/>
      <c r="AE98" s="752"/>
      <c r="AF98" s="751"/>
      <c r="AG98" s="752"/>
      <c r="AH98" s="751"/>
      <c r="AI98" s="752"/>
      <c r="AJ98" s="751"/>
      <c r="AK98" s="752"/>
      <c r="AL98" s="751"/>
      <c r="AM98" s="1239"/>
      <c r="AN98" s="1219"/>
      <c r="AO98" s="1151"/>
      <c r="AP98" s="751"/>
      <c r="AQ98" s="788"/>
      <c r="AR98" s="751"/>
      <c r="AS98" s="788"/>
      <c r="AT98" s="1129"/>
      <c r="AU98" s="1129"/>
      <c r="AV98" s="1129"/>
      <c r="AW98" s="1129"/>
      <c r="AX98" s="1129"/>
      <c r="AY98" s="1121" t="str">
        <f t="shared" si="57"/>
        <v/>
      </c>
      <c r="AZ98" s="1140"/>
      <c r="BA98" s="1140"/>
      <c r="BB98" s="1140"/>
      <c r="CA98" s="142" t="str">
        <f t="shared" si="81"/>
        <v/>
      </c>
      <c r="CB98" s="35"/>
      <c r="CC98" s="142" t="str">
        <f t="shared" si="82"/>
        <v/>
      </c>
      <c r="CD98" s="142" t="str">
        <f t="shared" si="83"/>
        <v/>
      </c>
      <c r="CE98" s="142" t="str">
        <f t="shared" si="84"/>
        <v/>
      </c>
      <c r="CF98" s="142" t="str">
        <f t="shared" si="85"/>
        <v/>
      </c>
      <c r="CG98" s="142" t="str">
        <f t="shared" si="74"/>
        <v/>
      </c>
      <c r="CH98" s="142" t="str">
        <f t="shared" si="75"/>
        <v/>
      </c>
      <c r="CI98" s="142" t="str">
        <f t="shared" si="86"/>
        <v/>
      </c>
      <c r="CJ98" s="142" t="str">
        <f t="shared" si="76"/>
        <v/>
      </c>
      <c r="CK98" s="142" t="str">
        <f t="shared" si="87"/>
        <v/>
      </c>
      <c r="CL98" s="5"/>
      <c r="CM98" s="5"/>
      <c r="CN98" s="34">
        <f t="shared" si="88"/>
        <v>0</v>
      </c>
      <c r="CO98" s="35"/>
      <c r="CP98" s="34">
        <f t="shared" si="89"/>
        <v>0</v>
      </c>
      <c r="CQ98" s="34">
        <f t="shared" si="68"/>
        <v>0</v>
      </c>
      <c r="CR98" s="34">
        <f t="shared" si="90"/>
        <v>0</v>
      </c>
      <c r="CS98" s="34">
        <f t="shared" si="70"/>
        <v>0</v>
      </c>
      <c r="CT98" s="34">
        <f t="shared" si="92"/>
        <v>0</v>
      </c>
      <c r="CU98" s="34">
        <f t="shared" si="92"/>
        <v>0</v>
      </c>
      <c r="CV98" s="34">
        <f t="shared" si="92"/>
        <v>0</v>
      </c>
      <c r="CW98" s="34">
        <f t="shared" si="72"/>
        <v>0</v>
      </c>
      <c r="CX98" s="34">
        <f t="shared" si="91"/>
        <v>0</v>
      </c>
      <c r="DK98" s="5"/>
      <c r="DL98" s="5"/>
      <c r="DM98" s="5"/>
      <c r="DN98" s="5"/>
      <c r="DO98" s="5"/>
      <c r="DP98" s="5"/>
      <c r="DQ98" s="5"/>
      <c r="DR98" s="5"/>
      <c r="DS98" s="5"/>
      <c r="DT98" s="5"/>
    </row>
    <row r="99" spans="1:124" s="800" customFormat="1" ht="15" customHeight="1">
      <c r="A99" s="2180"/>
      <c r="B99" s="1241" t="s">
        <v>611</v>
      </c>
      <c r="C99" s="965">
        <f t="shared" si="79"/>
        <v>0</v>
      </c>
      <c r="D99" s="707">
        <f>+F99+H99+J99</f>
        <v>0</v>
      </c>
      <c r="E99" s="1144">
        <f>+G99+I99+K99</f>
        <v>0</v>
      </c>
      <c r="F99" s="751"/>
      <c r="G99" s="752"/>
      <c r="H99" s="751"/>
      <c r="I99" s="752"/>
      <c r="J99" s="751"/>
      <c r="K99" s="710"/>
      <c r="L99" s="713"/>
      <c r="M99" s="714"/>
      <c r="N99" s="713"/>
      <c r="O99" s="714"/>
      <c r="P99" s="713"/>
      <c r="Q99" s="714"/>
      <c r="R99" s="713"/>
      <c r="S99" s="714"/>
      <c r="T99" s="713"/>
      <c r="U99" s="714"/>
      <c r="V99" s="711"/>
      <c r="W99" s="712"/>
      <c r="X99" s="713"/>
      <c r="Y99" s="714"/>
      <c r="Z99" s="713"/>
      <c r="AA99" s="714"/>
      <c r="AB99" s="713"/>
      <c r="AC99" s="714"/>
      <c r="AD99" s="713"/>
      <c r="AE99" s="714"/>
      <c r="AF99" s="713"/>
      <c r="AG99" s="714"/>
      <c r="AH99" s="713"/>
      <c r="AI99" s="714"/>
      <c r="AJ99" s="713"/>
      <c r="AK99" s="714"/>
      <c r="AL99" s="713"/>
      <c r="AM99" s="1231"/>
      <c r="AN99" s="1219"/>
      <c r="AO99" s="1151"/>
      <c r="AP99" s="709"/>
      <c r="AQ99" s="788"/>
      <c r="AR99" s="751"/>
      <c r="AS99" s="788"/>
      <c r="AT99" s="1129"/>
      <c r="AU99" s="1129"/>
      <c r="AV99" s="1129"/>
      <c r="AW99" s="1129"/>
      <c r="AX99" s="1129"/>
      <c r="AY99" s="1121" t="str">
        <f t="shared" si="57"/>
        <v/>
      </c>
      <c r="AZ99" s="1140"/>
      <c r="BA99" s="1140"/>
      <c r="BB99" s="1140"/>
      <c r="CA99" s="142" t="str">
        <f t="shared" si="81"/>
        <v/>
      </c>
      <c r="CB99" s="35"/>
      <c r="CC99" s="142" t="str">
        <f t="shared" si="82"/>
        <v/>
      </c>
      <c r="CD99" s="142" t="str">
        <f t="shared" si="83"/>
        <v/>
      </c>
      <c r="CE99" s="142" t="str">
        <f t="shared" si="84"/>
        <v/>
      </c>
      <c r="CF99" s="142" t="str">
        <f t="shared" si="85"/>
        <v/>
      </c>
      <c r="CG99" s="142" t="str">
        <f t="shared" si="74"/>
        <v/>
      </c>
      <c r="CH99" s="142" t="str">
        <f t="shared" si="75"/>
        <v/>
      </c>
      <c r="CI99" s="142" t="str">
        <f t="shared" si="86"/>
        <v/>
      </c>
      <c r="CJ99" s="142" t="str">
        <f t="shared" si="76"/>
        <v/>
      </c>
      <c r="CK99" s="142" t="str">
        <f t="shared" si="87"/>
        <v/>
      </c>
      <c r="CL99" s="5"/>
      <c r="CM99" s="5"/>
      <c r="CN99" s="34">
        <f t="shared" si="88"/>
        <v>0</v>
      </c>
      <c r="CO99" s="35"/>
      <c r="CP99" s="34">
        <f t="shared" si="89"/>
        <v>0</v>
      </c>
      <c r="CQ99" s="34">
        <f t="shared" si="68"/>
        <v>0</v>
      </c>
      <c r="CR99" s="34">
        <f t="shared" si="90"/>
        <v>0</v>
      </c>
      <c r="CS99" s="34">
        <f t="shared" si="70"/>
        <v>0</v>
      </c>
      <c r="CT99" s="34">
        <f t="shared" si="92"/>
        <v>0</v>
      </c>
      <c r="CU99" s="34">
        <f t="shared" si="92"/>
        <v>0</v>
      </c>
      <c r="CV99" s="34">
        <f t="shared" si="92"/>
        <v>0</v>
      </c>
      <c r="CW99" s="34">
        <f t="shared" si="72"/>
        <v>0</v>
      </c>
      <c r="CX99" s="34">
        <f t="shared" si="91"/>
        <v>0</v>
      </c>
      <c r="DK99" s="5"/>
      <c r="DL99" s="5"/>
      <c r="DM99" s="5"/>
      <c r="DN99" s="5"/>
      <c r="DO99" s="5"/>
      <c r="DP99" s="5"/>
      <c r="DQ99" s="5"/>
      <c r="DR99" s="5"/>
      <c r="DS99" s="5"/>
      <c r="DT99" s="5"/>
    </row>
    <row r="100" spans="1:124" s="800" customFormat="1" ht="21.75" customHeight="1">
      <c r="A100" s="2181"/>
      <c r="B100" s="1241" t="s">
        <v>612</v>
      </c>
      <c r="C100" s="962">
        <f t="shared" si="79"/>
        <v>0</v>
      </c>
      <c r="D100" s="733">
        <f>+F100+H100+J100+L100+N100</f>
        <v>0</v>
      </c>
      <c r="E100" s="1131">
        <f>+G100+I100+K100+M100+O100</f>
        <v>0</v>
      </c>
      <c r="F100" s="722"/>
      <c r="G100" s="723"/>
      <c r="H100" s="722"/>
      <c r="I100" s="723"/>
      <c r="J100" s="722"/>
      <c r="K100" s="723"/>
      <c r="L100" s="722"/>
      <c r="M100" s="723"/>
      <c r="N100" s="722"/>
      <c r="O100" s="723"/>
      <c r="P100" s="744"/>
      <c r="Q100" s="745"/>
      <c r="R100" s="744"/>
      <c r="S100" s="745"/>
      <c r="T100" s="744"/>
      <c r="U100" s="745"/>
      <c r="V100" s="744"/>
      <c r="W100" s="745"/>
      <c r="X100" s="744"/>
      <c r="Y100" s="745"/>
      <c r="Z100" s="744"/>
      <c r="AA100" s="745"/>
      <c r="AB100" s="744"/>
      <c r="AC100" s="745"/>
      <c r="AD100" s="744"/>
      <c r="AE100" s="745"/>
      <c r="AF100" s="744"/>
      <c r="AG100" s="745"/>
      <c r="AH100" s="744"/>
      <c r="AI100" s="745"/>
      <c r="AJ100" s="744"/>
      <c r="AK100" s="745"/>
      <c r="AL100" s="744"/>
      <c r="AM100" s="1242"/>
      <c r="AN100" s="1220"/>
      <c r="AO100" s="1153"/>
      <c r="AP100" s="751"/>
      <c r="AQ100" s="788"/>
      <c r="AR100" s="751"/>
      <c r="AS100" s="788"/>
      <c r="AT100" s="1129"/>
      <c r="AU100" s="1129"/>
      <c r="AV100" s="1129"/>
      <c r="AW100" s="1129"/>
      <c r="AX100" s="1129"/>
      <c r="AY100" s="1121" t="str">
        <f t="shared" si="57"/>
        <v/>
      </c>
      <c r="AZ100" s="1140"/>
      <c r="BA100" s="1140"/>
      <c r="BB100" s="1140"/>
      <c r="CA100" s="142" t="str">
        <f t="shared" si="81"/>
        <v/>
      </c>
      <c r="CB100" s="35"/>
      <c r="CC100" s="142" t="str">
        <f t="shared" si="82"/>
        <v/>
      </c>
      <c r="CD100" s="142" t="str">
        <f t="shared" si="83"/>
        <v/>
      </c>
      <c r="CE100" s="142" t="str">
        <f t="shared" si="84"/>
        <v/>
      </c>
      <c r="CF100" s="142" t="str">
        <f t="shared" si="85"/>
        <v/>
      </c>
      <c r="CG100" s="142" t="str">
        <f t="shared" si="74"/>
        <v/>
      </c>
      <c r="CH100" s="142" t="str">
        <f t="shared" si="75"/>
        <v/>
      </c>
      <c r="CI100" s="142" t="str">
        <f t="shared" si="86"/>
        <v/>
      </c>
      <c r="CJ100" s="142" t="str">
        <f t="shared" si="76"/>
        <v/>
      </c>
      <c r="CK100" s="142" t="str">
        <f t="shared" si="87"/>
        <v/>
      </c>
      <c r="CL100" s="5"/>
      <c r="CM100" s="5"/>
      <c r="CN100" s="34">
        <f t="shared" si="88"/>
        <v>0</v>
      </c>
      <c r="CO100" s="35"/>
      <c r="CP100" s="34">
        <f t="shared" si="89"/>
        <v>0</v>
      </c>
      <c r="CQ100" s="34">
        <f t="shared" si="68"/>
        <v>0</v>
      </c>
      <c r="CR100" s="34">
        <f t="shared" si="90"/>
        <v>0</v>
      </c>
      <c r="CS100" s="34">
        <f t="shared" si="70"/>
        <v>0</v>
      </c>
      <c r="CT100" s="34">
        <f t="shared" si="92"/>
        <v>0</v>
      </c>
      <c r="CU100" s="34">
        <f t="shared" si="92"/>
        <v>0</v>
      </c>
      <c r="CV100" s="34">
        <f t="shared" si="92"/>
        <v>0</v>
      </c>
      <c r="CW100" s="34">
        <f t="shared" si="72"/>
        <v>0</v>
      </c>
      <c r="CX100" s="34">
        <f t="shared" si="91"/>
        <v>0</v>
      </c>
      <c r="DK100" s="5"/>
      <c r="DL100" s="5"/>
      <c r="DM100" s="5"/>
      <c r="DN100" s="5"/>
      <c r="DO100" s="5"/>
      <c r="DP100" s="5"/>
      <c r="DQ100" s="5"/>
      <c r="DR100" s="5"/>
      <c r="DS100" s="5"/>
      <c r="DT100" s="5"/>
    </row>
    <row r="101" spans="1:124" s="800" customFormat="1" ht="15" customHeight="1">
      <c r="A101" s="2172" t="s">
        <v>613</v>
      </c>
      <c r="B101" s="1238" t="s">
        <v>648</v>
      </c>
      <c r="C101" s="962">
        <f t="shared" si="79"/>
        <v>0</v>
      </c>
      <c r="D101" s="1155">
        <f t="shared" ref="D101:E105" si="93">SUM(F101+H101+J101+L101+N101+P101+R101+T101+V101+X101+Z101+AB101+AD101+AF101+AH101+AJ101+AL101)</f>
        <v>0</v>
      </c>
      <c r="E101" s="1156">
        <f t="shared" si="93"/>
        <v>0</v>
      </c>
      <c r="F101" s="751"/>
      <c r="G101" s="752"/>
      <c r="H101" s="751"/>
      <c r="I101" s="752"/>
      <c r="J101" s="751"/>
      <c r="K101" s="752"/>
      <c r="L101" s="751"/>
      <c r="M101" s="752"/>
      <c r="N101" s="751"/>
      <c r="O101" s="789"/>
      <c r="P101" s="751"/>
      <c r="Q101" s="789"/>
      <c r="R101" s="751"/>
      <c r="S101" s="789"/>
      <c r="T101" s="751"/>
      <c r="U101" s="789"/>
      <c r="V101" s="751"/>
      <c r="W101" s="789"/>
      <c r="X101" s="751"/>
      <c r="Y101" s="789"/>
      <c r="Z101" s="751"/>
      <c r="AA101" s="789"/>
      <c r="AB101" s="751"/>
      <c r="AC101" s="789"/>
      <c r="AD101" s="751"/>
      <c r="AE101" s="789"/>
      <c r="AF101" s="751"/>
      <c r="AG101" s="789"/>
      <c r="AH101" s="751"/>
      <c r="AI101" s="789"/>
      <c r="AJ101" s="751"/>
      <c r="AK101" s="789"/>
      <c r="AL101" s="751"/>
      <c r="AM101" s="753"/>
      <c r="AN101" s="1219"/>
      <c r="AO101" s="1129"/>
      <c r="AP101" s="751"/>
      <c r="AQ101" s="788"/>
      <c r="AR101" s="789"/>
      <c r="AS101" s="752"/>
      <c r="AT101" s="752"/>
      <c r="AU101" s="752"/>
      <c r="AV101" s="752"/>
      <c r="AW101" s="752"/>
      <c r="AX101" s="752"/>
      <c r="AY101" s="1121" t="str">
        <f t="shared" si="57"/>
        <v/>
      </c>
      <c r="AZ101" s="1140"/>
      <c r="BA101" s="1140"/>
      <c r="BB101" s="1140"/>
      <c r="CA101" s="142" t="str">
        <f t="shared" si="81"/>
        <v/>
      </c>
      <c r="CB101" s="142" t="str">
        <f t="shared" ref="CB101:CB105" si="94">IF(AND(E101&gt;0,OR(AO101=""))," * No olvide digitar la variable Madre de hijo menor de 5 años. Digite Cero si no tiene.",IF(AO101&gt;E101," * La variable Madre de hijo menor de 5 años no puede ser Mayor al Total Mujeres.",""))</f>
        <v/>
      </c>
      <c r="CC101" s="142" t="str">
        <f t="shared" si="82"/>
        <v/>
      </c>
      <c r="CD101" s="142" t="str">
        <f t="shared" si="83"/>
        <v/>
      </c>
      <c r="CE101" s="142" t="str">
        <f t="shared" si="84"/>
        <v/>
      </c>
      <c r="CF101" s="142" t="str">
        <f t="shared" si="85"/>
        <v/>
      </c>
      <c r="CG101" s="142" t="str">
        <f t="shared" si="74"/>
        <v/>
      </c>
      <c r="CH101" s="142" t="str">
        <f t="shared" si="75"/>
        <v/>
      </c>
      <c r="CI101" s="142" t="str">
        <f t="shared" si="86"/>
        <v/>
      </c>
      <c r="CJ101" s="142" t="str">
        <f t="shared" si="76"/>
        <v/>
      </c>
      <c r="CK101" s="142" t="str">
        <f t="shared" si="87"/>
        <v/>
      </c>
      <c r="CL101" s="5"/>
      <c r="CM101" s="5"/>
      <c r="CN101" s="34">
        <f t="shared" si="88"/>
        <v>0</v>
      </c>
      <c r="CO101" s="34">
        <f t="shared" si="88"/>
        <v>0</v>
      </c>
      <c r="CP101" s="34">
        <f>IF(AND($D101&gt;0,OR(AP101="")),1,IF(AP101&gt;$D101,1,0))</f>
        <v>0</v>
      </c>
      <c r="CQ101" s="34">
        <f>IF(AND($E101&gt;0,OR(AQ101="")),1,IF(AQ101&gt;$E101,1,0))</f>
        <v>0</v>
      </c>
      <c r="CR101" s="34">
        <f>IF(AND($D101&gt;0,OR(AR101="")),1,IF(AR101&gt;$D101,1,0))</f>
        <v>0</v>
      </c>
      <c r="CS101" s="34">
        <f>IF(AND($E101&gt;0,OR(AS101="")),1,IF(AS101&gt;$E101,1,0))</f>
        <v>0</v>
      </c>
      <c r="CT101" s="34">
        <f t="shared" si="92"/>
        <v>0</v>
      </c>
      <c r="CU101" s="34">
        <f t="shared" si="92"/>
        <v>0</v>
      </c>
      <c r="CV101" s="34">
        <f t="shared" si="92"/>
        <v>0</v>
      </c>
      <c r="CW101" s="34">
        <f t="shared" si="72"/>
        <v>0</v>
      </c>
      <c r="CX101" s="34">
        <f t="shared" si="91"/>
        <v>0</v>
      </c>
      <c r="CY101" s="5"/>
      <c r="DK101" s="5"/>
      <c r="DL101" s="5"/>
      <c r="DM101" s="5"/>
      <c r="DN101" s="5"/>
      <c r="DO101" s="5"/>
      <c r="DP101" s="5"/>
      <c r="DQ101" s="5"/>
      <c r="DR101" s="5"/>
      <c r="DS101" s="5"/>
      <c r="DT101" s="5"/>
    </row>
    <row r="102" spans="1:124" s="800" customFormat="1" ht="15" customHeight="1">
      <c r="A102" s="1988"/>
      <c r="B102" s="1243" t="s">
        <v>649</v>
      </c>
      <c r="C102" s="962">
        <f t="shared" si="79"/>
        <v>0</v>
      </c>
      <c r="D102" s="1158">
        <f t="shared" si="93"/>
        <v>0</v>
      </c>
      <c r="E102" s="1159">
        <f t="shared" si="93"/>
        <v>0</v>
      </c>
      <c r="F102" s="709"/>
      <c r="G102" s="710"/>
      <c r="H102" s="709"/>
      <c r="I102" s="710"/>
      <c r="J102" s="709"/>
      <c r="K102" s="710"/>
      <c r="L102" s="709"/>
      <c r="M102" s="710"/>
      <c r="N102" s="709"/>
      <c r="O102" s="928"/>
      <c r="P102" s="709"/>
      <c r="Q102" s="928"/>
      <c r="R102" s="709"/>
      <c r="S102" s="928"/>
      <c r="T102" s="709"/>
      <c r="U102" s="928"/>
      <c r="V102" s="709"/>
      <c r="W102" s="928"/>
      <c r="X102" s="709"/>
      <c r="Y102" s="928"/>
      <c r="Z102" s="709"/>
      <c r="AA102" s="928"/>
      <c r="AB102" s="709"/>
      <c r="AC102" s="928"/>
      <c r="AD102" s="709"/>
      <c r="AE102" s="928"/>
      <c r="AF102" s="709"/>
      <c r="AG102" s="928"/>
      <c r="AH102" s="709"/>
      <c r="AI102" s="928"/>
      <c r="AJ102" s="709"/>
      <c r="AK102" s="928"/>
      <c r="AL102" s="709"/>
      <c r="AM102" s="731"/>
      <c r="AN102" s="1229"/>
      <c r="AO102" s="1143"/>
      <c r="AP102" s="709"/>
      <c r="AQ102" s="900"/>
      <c r="AR102" s="928"/>
      <c r="AS102" s="710"/>
      <c r="AT102" s="710"/>
      <c r="AU102" s="710"/>
      <c r="AV102" s="710"/>
      <c r="AW102" s="710"/>
      <c r="AX102" s="710"/>
      <c r="AY102" s="1121" t="str">
        <f t="shared" si="57"/>
        <v/>
      </c>
      <c r="AZ102" s="1140"/>
      <c r="BA102" s="1140"/>
      <c r="BB102" s="1140"/>
      <c r="CA102" s="142" t="str">
        <f t="shared" si="81"/>
        <v/>
      </c>
      <c r="CB102" s="142" t="str">
        <f t="shared" si="94"/>
        <v/>
      </c>
      <c r="CC102" s="142" t="str">
        <f t="shared" si="82"/>
        <v/>
      </c>
      <c r="CD102" s="142" t="str">
        <f t="shared" si="83"/>
        <v/>
      </c>
      <c r="CE102" s="142" t="str">
        <f t="shared" si="84"/>
        <v/>
      </c>
      <c r="CF102" s="142" t="str">
        <f t="shared" si="85"/>
        <v/>
      </c>
      <c r="CG102" s="142" t="str">
        <f t="shared" si="74"/>
        <v/>
      </c>
      <c r="CH102" s="142" t="str">
        <f t="shared" si="75"/>
        <v/>
      </c>
      <c r="CI102" s="142" t="str">
        <f t="shared" si="86"/>
        <v/>
      </c>
      <c r="CJ102" s="142" t="str">
        <f t="shared" si="76"/>
        <v/>
      </c>
      <c r="CK102" s="142" t="str">
        <f t="shared" si="87"/>
        <v/>
      </c>
      <c r="CL102" s="5"/>
      <c r="CM102" s="5"/>
      <c r="CN102" s="34">
        <f t="shared" si="88"/>
        <v>0</v>
      </c>
      <c r="CO102" s="34">
        <f t="shared" si="88"/>
        <v>0</v>
      </c>
      <c r="CP102" s="34">
        <f>IF(AND($D102&gt;0,OR(AP102="")),1,IF(AP102&gt;$D102,1,0))</f>
        <v>0</v>
      </c>
      <c r="CQ102" s="34">
        <f>IF(AND($E102&gt;0,OR(AQ102="")),1,IF(AQ102&gt;$E102,1,0))</f>
        <v>0</v>
      </c>
      <c r="CR102" s="34">
        <f>IF(AND($D102&gt;0,OR(AR102="")),1,IF(AR102&gt;$D102,1,0))</f>
        <v>0</v>
      </c>
      <c r="CS102" s="34">
        <f>IF(AND($E102&gt;0,OR(AS102="")),1,IF(AS102&gt;$E102,1,0))</f>
        <v>0</v>
      </c>
      <c r="CT102" s="34">
        <f t="shared" si="92"/>
        <v>0</v>
      </c>
      <c r="CU102" s="34">
        <f t="shared" si="92"/>
        <v>0</v>
      </c>
      <c r="CV102" s="34">
        <f t="shared" si="92"/>
        <v>0</v>
      </c>
      <c r="CW102" s="34">
        <f t="shared" si="72"/>
        <v>0</v>
      </c>
      <c r="CX102" s="34">
        <f t="shared" si="91"/>
        <v>0</v>
      </c>
      <c r="CY102" s="5"/>
      <c r="DK102" s="5"/>
      <c r="DL102" s="5"/>
      <c r="DM102" s="5"/>
      <c r="DN102" s="5"/>
      <c r="DO102" s="5"/>
      <c r="DP102" s="5"/>
      <c r="DQ102" s="5"/>
      <c r="DR102" s="5"/>
      <c r="DS102" s="5"/>
      <c r="DT102" s="5"/>
    </row>
    <row r="103" spans="1:124" ht="15" customHeight="1">
      <c r="A103" s="1988"/>
      <c r="B103" s="1244" t="s">
        <v>616</v>
      </c>
      <c r="C103" s="962">
        <f t="shared" si="79"/>
        <v>0</v>
      </c>
      <c r="D103" s="1158">
        <f t="shared" si="93"/>
        <v>0</v>
      </c>
      <c r="E103" s="1159">
        <f t="shared" si="93"/>
        <v>0</v>
      </c>
      <c r="F103" s="709"/>
      <c r="G103" s="710"/>
      <c r="H103" s="709"/>
      <c r="I103" s="710"/>
      <c r="J103" s="709"/>
      <c r="K103" s="710"/>
      <c r="L103" s="709"/>
      <c r="M103" s="710"/>
      <c r="N103" s="709"/>
      <c r="O103" s="928"/>
      <c r="P103" s="709"/>
      <c r="Q103" s="928"/>
      <c r="R103" s="709"/>
      <c r="S103" s="928"/>
      <c r="T103" s="709"/>
      <c r="U103" s="928"/>
      <c r="V103" s="709"/>
      <c r="W103" s="928"/>
      <c r="X103" s="709"/>
      <c r="Y103" s="928"/>
      <c r="Z103" s="709"/>
      <c r="AA103" s="928"/>
      <c r="AB103" s="709"/>
      <c r="AC103" s="928"/>
      <c r="AD103" s="709"/>
      <c r="AE103" s="928"/>
      <c r="AF103" s="709"/>
      <c r="AG103" s="928"/>
      <c r="AH103" s="709"/>
      <c r="AI103" s="928"/>
      <c r="AJ103" s="709"/>
      <c r="AK103" s="928"/>
      <c r="AL103" s="709"/>
      <c r="AM103" s="731"/>
      <c r="AN103" s="1229"/>
      <c r="AO103" s="1143"/>
      <c r="AP103" s="709"/>
      <c r="AQ103" s="900"/>
      <c r="AR103" s="928"/>
      <c r="AS103" s="710"/>
      <c r="AT103" s="710"/>
      <c r="AU103" s="710"/>
      <c r="AV103" s="710"/>
      <c r="AW103" s="710"/>
      <c r="AX103" s="710"/>
      <c r="AY103" s="1121" t="str">
        <f t="shared" si="57"/>
        <v/>
      </c>
      <c r="BC103" s="5"/>
      <c r="CA103" s="142" t="str">
        <f t="shared" si="81"/>
        <v/>
      </c>
      <c r="CB103" s="142" t="str">
        <f t="shared" si="94"/>
        <v/>
      </c>
      <c r="CC103" s="142" t="str">
        <f t="shared" si="82"/>
        <v/>
      </c>
      <c r="CD103" s="142" t="str">
        <f t="shared" si="83"/>
        <v/>
      </c>
      <c r="CE103" s="142" t="str">
        <f t="shared" si="84"/>
        <v/>
      </c>
      <c r="CF103" s="142" t="str">
        <f t="shared" si="85"/>
        <v/>
      </c>
      <c r="CG103" s="142" t="str">
        <f t="shared" si="74"/>
        <v/>
      </c>
      <c r="CH103" s="142" t="str">
        <f t="shared" si="75"/>
        <v/>
      </c>
      <c r="CI103" s="142" t="str">
        <f t="shared" si="86"/>
        <v/>
      </c>
      <c r="CJ103" s="142" t="str">
        <f t="shared" si="76"/>
        <v/>
      </c>
      <c r="CK103" s="142" t="str">
        <f t="shared" si="87"/>
        <v/>
      </c>
      <c r="CN103" s="34">
        <f t="shared" si="88"/>
        <v>0</v>
      </c>
      <c r="CO103" s="34">
        <f t="shared" si="88"/>
        <v>0</v>
      </c>
      <c r="CP103" s="34">
        <f t="shared" ref="CP103:CP120" si="95">IF(AND($D103&gt;0,OR(AP103="")),1,IF(AP103&gt;$D103,1,0))</f>
        <v>0</v>
      </c>
      <c r="CQ103" s="34">
        <f t="shared" ref="CQ103:CQ120" si="96">IF(AND($E103&gt;0,OR(AQ103="")),1,IF(AQ103&gt;$E103,1,0))</f>
        <v>0</v>
      </c>
      <c r="CR103" s="34">
        <f t="shared" ref="CR103:CR120" si="97">IF(AND($D103&gt;0,OR(AR103="")),1,IF(AR103&gt;$D103,1,0))</f>
        <v>0</v>
      </c>
      <c r="CS103" s="34">
        <f t="shared" ref="CS103:CS120" si="98">IF(AND($E103&gt;0,OR(AS103="")),1,IF(AS103&gt;$E103,1,0))</f>
        <v>0</v>
      </c>
      <c r="CT103" s="34">
        <f t="shared" si="92"/>
        <v>0</v>
      </c>
      <c r="CU103" s="34">
        <f t="shared" si="92"/>
        <v>0</v>
      </c>
      <c r="CV103" s="34">
        <f t="shared" si="92"/>
        <v>0</v>
      </c>
      <c r="CW103" s="34">
        <f t="shared" si="72"/>
        <v>0</v>
      </c>
      <c r="CX103" s="34">
        <f t="shared" si="91"/>
        <v>0</v>
      </c>
      <c r="DM103" s="5"/>
      <c r="DN103" s="5"/>
      <c r="DO103" s="5"/>
    </row>
    <row r="104" spans="1:124" ht="15" customHeight="1">
      <c r="A104" s="1988"/>
      <c r="B104" s="1244" t="s">
        <v>617</v>
      </c>
      <c r="C104" s="962">
        <f t="shared" si="79"/>
        <v>0</v>
      </c>
      <c r="D104" s="1155">
        <f t="shared" si="93"/>
        <v>0</v>
      </c>
      <c r="E104" s="1156">
        <f t="shared" si="93"/>
        <v>0</v>
      </c>
      <c r="F104" s="709"/>
      <c r="G104" s="710"/>
      <c r="H104" s="709"/>
      <c r="I104" s="710"/>
      <c r="J104" s="709"/>
      <c r="K104" s="710"/>
      <c r="L104" s="709"/>
      <c r="M104" s="710"/>
      <c r="N104" s="709"/>
      <c r="O104" s="928"/>
      <c r="P104" s="709"/>
      <c r="Q104" s="928"/>
      <c r="R104" s="709"/>
      <c r="S104" s="928"/>
      <c r="T104" s="709"/>
      <c r="U104" s="928"/>
      <c r="V104" s="709"/>
      <c r="W104" s="928"/>
      <c r="X104" s="709"/>
      <c r="Y104" s="928"/>
      <c r="Z104" s="709"/>
      <c r="AA104" s="928"/>
      <c r="AB104" s="709"/>
      <c r="AC104" s="928"/>
      <c r="AD104" s="709"/>
      <c r="AE104" s="928"/>
      <c r="AF104" s="709"/>
      <c r="AG104" s="928"/>
      <c r="AH104" s="709"/>
      <c r="AI104" s="928"/>
      <c r="AJ104" s="709"/>
      <c r="AK104" s="928"/>
      <c r="AL104" s="709"/>
      <c r="AM104" s="731"/>
      <c r="AN104" s="1229"/>
      <c r="AO104" s="1143"/>
      <c r="AP104" s="709"/>
      <c r="AQ104" s="900"/>
      <c r="AR104" s="928"/>
      <c r="AS104" s="710"/>
      <c r="AT104" s="710"/>
      <c r="AU104" s="1143"/>
      <c r="AV104" s="710"/>
      <c r="AW104" s="710"/>
      <c r="AX104" s="710"/>
      <c r="AY104" s="1121" t="str">
        <f t="shared" si="57"/>
        <v/>
      </c>
      <c r="BC104" s="5"/>
      <c r="CA104" s="142" t="str">
        <f t="shared" si="81"/>
        <v/>
      </c>
      <c r="CB104" s="142" t="str">
        <f t="shared" si="94"/>
        <v/>
      </c>
      <c r="CC104" s="142" t="str">
        <f t="shared" si="82"/>
        <v/>
      </c>
      <c r="CD104" s="142" t="str">
        <f t="shared" si="83"/>
        <v/>
      </c>
      <c r="CE104" s="142" t="str">
        <f t="shared" si="84"/>
        <v/>
      </c>
      <c r="CF104" s="142" t="str">
        <f t="shared" si="85"/>
        <v/>
      </c>
      <c r="CG104" s="142" t="str">
        <f t="shared" si="74"/>
        <v/>
      </c>
      <c r="CH104" s="142" t="str">
        <f t="shared" si="75"/>
        <v/>
      </c>
      <c r="CI104" s="142" t="str">
        <f t="shared" si="86"/>
        <v/>
      </c>
      <c r="CJ104" s="142" t="str">
        <f t="shared" si="76"/>
        <v/>
      </c>
      <c r="CK104" s="142" t="str">
        <f t="shared" si="87"/>
        <v/>
      </c>
      <c r="CN104" s="34">
        <f t="shared" si="88"/>
        <v>0</v>
      </c>
      <c r="CO104" s="34">
        <f t="shared" si="88"/>
        <v>0</v>
      </c>
      <c r="CP104" s="34">
        <f t="shared" si="95"/>
        <v>0</v>
      </c>
      <c r="CQ104" s="34">
        <f t="shared" si="96"/>
        <v>0</v>
      </c>
      <c r="CR104" s="34">
        <f t="shared" si="97"/>
        <v>0</v>
      </c>
      <c r="CS104" s="34">
        <f t="shared" si="98"/>
        <v>0</v>
      </c>
      <c r="CT104" s="34">
        <f t="shared" si="92"/>
        <v>0</v>
      </c>
      <c r="CU104" s="34">
        <f t="shared" si="92"/>
        <v>0</v>
      </c>
      <c r="CV104" s="34">
        <f t="shared" si="92"/>
        <v>0</v>
      </c>
      <c r="CW104" s="34">
        <f t="shared" si="72"/>
        <v>0</v>
      </c>
      <c r="CX104" s="34">
        <f t="shared" si="91"/>
        <v>0</v>
      </c>
      <c r="DM104" s="5"/>
      <c r="DN104" s="5"/>
      <c r="DO104" s="5"/>
    </row>
    <row r="105" spans="1:124" ht="15" customHeight="1">
      <c r="A105" s="1980"/>
      <c r="B105" s="1245" t="s">
        <v>618</v>
      </c>
      <c r="C105" s="962">
        <f t="shared" si="79"/>
        <v>0</v>
      </c>
      <c r="D105" s="1247">
        <f t="shared" si="93"/>
        <v>0</v>
      </c>
      <c r="E105" s="1237">
        <f t="shared" si="93"/>
        <v>0</v>
      </c>
      <c r="F105" s="722"/>
      <c r="G105" s="723"/>
      <c r="H105" s="722"/>
      <c r="I105" s="723"/>
      <c r="J105" s="722"/>
      <c r="K105" s="723"/>
      <c r="L105" s="722"/>
      <c r="M105" s="723"/>
      <c r="N105" s="722"/>
      <c r="O105" s="852"/>
      <c r="P105" s="722"/>
      <c r="Q105" s="852"/>
      <c r="R105" s="722"/>
      <c r="S105" s="852"/>
      <c r="T105" s="722"/>
      <c r="U105" s="852"/>
      <c r="V105" s="722"/>
      <c r="W105" s="852"/>
      <c r="X105" s="722"/>
      <c r="Y105" s="852"/>
      <c r="Z105" s="722"/>
      <c r="AA105" s="852"/>
      <c r="AB105" s="722"/>
      <c r="AC105" s="852"/>
      <c r="AD105" s="722"/>
      <c r="AE105" s="852"/>
      <c r="AF105" s="722"/>
      <c r="AG105" s="852"/>
      <c r="AH105" s="722"/>
      <c r="AI105" s="852"/>
      <c r="AJ105" s="722"/>
      <c r="AK105" s="852"/>
      <c r="AL105" s="722"/>
      <c r="AM105" s="762"/>
      <c r="AN105" s="1220"/>
      <c r="AO105" s="1133"/>
      <c r="AP105" s="722"/>
      <c r="AQ105" s="850"/>
      <c r="AR105" s="852"/>
      <c r="AS105" s="723"/>
      <c r="AT105" s="723"/>
      <c r="AU105" s="1133"/>
      <c r="AV105" s="723"/>
      <c r="AW105" s="723"/>
      <c r="AX105" s="723"/>
      <c r="AY105" s="1121" t="str">
        <f t="shared" si="57"/>
        <v/>
      </c>
      <c r="BC105" s="5"/>
      <c r="CA105" s="142" t="str">
        <f t="shared" si="81"/>
        <v/>
      </c>
      <c r="CB105" s="142" t="str">
        <f t="shared" si="94"/>
        <v/>
      </c>
      <c r="CC105" s="142" t="str">
        <f t="shared" si="82"/>
        <v/>
      </c>
      <c r="CD105" s="142" t="str">
        <f t="shared" si="83"/>
        <v/>
      </c>
      <c r="CE105" s="142" t="str">
        <f t="shared" si="84"/>
        <v/>
      </c>
      <c r="CF105" s="142" t="str">
        <f t="shared" si="85"/>
        <v/>
      </c>
      <c r="CG105" s="142" t="str">
        <f t="shared" si="74"/>
        <v/>
      </c>
      <c r="CH105" s="142" t="str">
        <f t="shared" si="75"/>
        <v/>
      </c>
      <c r="CI105" s="142" t="str">
        <f t="shared" si="86"/>
        <v/>
      </c>
      <c r="CJ105" s="142" t="str">
        <f t="shared" si="76"/>
        <v/>
      </c>
      <c r="CK105" s="142" t="str">
        <f t="shared" si="87"/>
        <v/>
      </c>
      <c r="CN105" s="34">
        <f t="shared" si="88"/>
        <v>0</v>
      </c>
      <c r="CO105" s="34">
        <f t="shared" si="88"/>
        <v>0</v>
      </c>
      <c r="CP105" s="34">
        <f t="shared" si="95"/>
        <v>0</v>
      </c>
      <c r="CQ105" s="34">
        <f t="shared" si="96"/>
        <v>0</v>
      </c>
      <c r="CR105" s="34">
        <f t="shared" si="97"/>
        <v>0</v>
      </c>
      <c r="CS105" s="34">
        <f t="shared" si="98"/>
        <v>0</v>
      </c>
      <c r="CT105" s="34">
        <f t="shared" si="92"/>
        <v>0</v>
      </c>
      <c r="CU105" s="34">
        <f t="shared" si="92"/>
        <v>0</v>
      </c>
      <c r="CV105" s="34">
        <f t="shared" si="92"/>
        <v>0</v>
      </c>
      <c r="CW105" s="34">
        <f t="shared" si="72"/>
        <v>0</v>
      </c>
      <c r="CX105" s="34">
        <f t="shared" si="91"/>
        <v>0</v>
      </c>
      <c r="DM105" s="5"/>
      <c r="DN105" s="5"/>
      <c r="DO105" s="5"/>
    </row>
    <row r="106" spans="1:124" ht="15" customHeight="1">
      <c r="A106" s="2172" t="s">
        <v>619</v>
      </c>
      <c r="B106" s="1248" t="s">
        <v>364</v>
      </c>
      <c r="C106" s="1261">
        <f t="shared" si="79"/>
        <v>0</v>
      </c>
      <c r="D106" s="740">
        <f t="shared" ref="D106:E118" si="99">+F106+H106+J106+L106+N106+P106+R106+T106+V106+X106+Z106+AB106+AD106+AF106+AH106+AJ106+AL106</f>
        <v>0</v>
      </c>
      <c r="E106" s="1125">
        <f>+G106+I106+K106+M106+O106+Q106+S106+U106+W106+Y106+AA106+AC106+AE106+AG106+AI106+AK106+AM106</f>
        <v>0</v>
      </c>
      <c r="F106" s="711"/>
      <c r="G106" s="712"/>
      <c r="H106" s="711"/>
      <c r="I106" s="712"/>
      <c r="J106" s="711"/>
      <c r="K106" s="712"/>
      <c r="L106" s="711"/>
      <c r="M106" s="712"/>
      <c r="N106" s="711"/>
      <c r="O106" s="712"/>
      <c r="P106" s="711"/>
      <c r="Q106" s="712"/>
      <c r="R106" s="751"/>
      <c r="S106" s="752"/>
      <c r="T106" s="751"/>
      <c r="U106" s="752"/>
      <c r="V106" s="751"/>
      <c r="W106" s="752"/>
      <c r="X106" s="751"/>
      <c r="Y106" s="752"/>
      <c r="Z106" s="751"/>
      <c r="AA106" s="752"/>
      <c r="AB106" s="751"/>
      <c r="AC106" s="752"/>
      <c r="AD106" s="751"/>
      <c r="AE106" s="752"/>
      <c r="AF106" s="751"/>
      <c r="AG106" s="752"/>
      <c r="AH106" s="751"/>
      <c r="AI106" s="752"/>
      <c r="AJ106" s="751"/>
      <c r="AK106" s="752"/>
      <c r="AL106" s="751"/>
      <c r="AM106" s="752"/>
      <c r="AN106" s="1249"/>
      <c r="AO106" s="1169"/>
      <c r="AP106" s="751"/>
      <c r="AQ106" s="788"/>
      <c r="AR106" s="789"/>
      <c r="AS106" s="752"/>
      <c r="AT106" s="712"/>
      <c r="AU106" s="712"/>
      <c r="AV106" s="752"/>
      <c r="AW106" s="752"/>
      <c r="AX106" s="752"/>
      <c r="AY106" s="1121" t="str">
        <f t="shared" si="57"/>
        <v/>
      </c>
      <c r="BC106" s="5"/>
      <c r="CA106" s="35"/>
      <c r="CB106" s="35"/>
      <c r="CC106" s="142" t="str">
        <f>IF(AND(D106&gt;0,OR(AP106=""))," * No olvide digitar la variable Pueblos Originarios Hombres. Digite Cero si no tiene.",IF(AP106&gt;D106," * La variable Pueblos Originarios Hombres no puede ser Mayor al Total Hombres.",""))</f>
        <v/>
      </c>
      <c r="CD106" s="142" t="str">
        <f t="shared" si="83"/>
        <v/>
      </c>
      <c r="CE106" s="142" t="str">
        <f t="shared" si="84"/>
        <v/>
      </c>
      <c r="CF106" s="142" t="str">
        <f t="shared" si="85"/>
        <v/>
      </c>
      <c r="CG106" s="35"/>
      <c r="CH106" s="35"/>
      <c r="CI106" s="142" t="str">
        <f t="shared" si="86"/>
        <v/>
      </c>
      <c r="CJ106" s="142" t="str">
        <f t="shared" si="76"/>
        <v/>
      </c>
      <c r="CK106" s="142" t="str">
        <f t="shared" si="87"/>
        <v/>
      </c>
      <c r="CN106" s="35"/>
      <c r="CO106" s="35"/>
      <c r="CP106" s="34">
        <f t="shared" si="95"/>
        <v>0</v>
      </c>
      <c r="CQ106" s="34">
        <f t="shared" si="96"/>
        <v>0</v>
      </c>
      <c r="CR106" s="34">
        <f t="shared" si="97"/>
        <v>0</v>
      </c>
      <c r="CS106" s="34">
        <f t="shared" si="98"/>
        <v>0</v>
      </c>
      <c r="CT106" s="35"/>
      <c r="CU106" s="35"/>
      <c r="CV106" s="34">
        <f t="shared" si="92"/>
        <v>0</v>
      </c>
      <c r="CW106" s="34">
        <f t="shared" si="72"/>
        <v>0</v>
      </c>
      <c r="CX106" s="34">
        <f t="shared" si="91"/>
        <v>0</v>
      </c>
      <c r="CY106" s="800"/>
      <c r="DM106" s="5"/>
      <c r="DN106" s="5"/>
      <c r="DO106" s="5"/>
    </row>
    <row r="107" spans="1:124" ht="15" customHeight="1">
      <c r="A107" s="1988"/>
      <c r="B107" s="1250" t="s">
        <v>365</v>
      </c>
      <c r="C107" s="965">
        <f t="shared" si="79"/>
        <v>0</v>
      </c>
      <c r="D107" s="740">
        <f t="shared" si="99"/>
        <v>0</v>
      </c>
      <c r="E107" s="1125">
        <f t="shared" si="99"/>
        <v>0</v>
      </c>
      <c r="F107" s="713"/>
      <c r="G107" s="714"/>
      <c r="H107" s="713"/>
      <c r="I107" s="714"/>
      <c r="J107" s="713"/>
      <c r="K107" s="714"/>
      <c r="L107" s="713"/>
      <c r="M107" s="714"/>
      <c r="N107" s="713"/>
      <c r="O107" s="714"/>
      <c r="P107" s="713"/>
      <c r="Q107" s="714"/>
      <c r="R107" s="709"/>
      <c r="S107" s="710"/>
      <c r="T107" s="709"/>
      <c r="U107" s="710"/>
      <c r="V107" s="709"/>
      <c r="W107" s="710"/>
      <c r="X107" s="709"/>
      <c r="Y107" s="710"/>
      <c r="Z107" s="709"/>
      <c r="AA107" s="710"/>
      <c r="AB107" s="709"/>
      <c r="AC107" s="710"/>
      <c r="AD107" s="709"/>
      <c r="AE107" s="710"/>
      <c r="AF107" s="709"/>
      <c r="AG107" s="710"/>
      <c r="AH107" s="709"/>
      <c r="AI107" s="710"/>
      <c r="AJ107" s="709"/>
      <c r="AK107" s="710"/>
      <c r="AL107" s="709"/>
      <c r="AM107" s="710"/>
      <c r="AN107" s="1232"/>
      <c r="AO107" s="1251"/>
      <c r="AP107" s="709"/>
      <c r="AQ107" s="900"/>
      <c r="AR107" s="928"/>
      <c r="AS107" s="710"/>
      <c r="AT107" s="714"/>
      <c r="AU107" s="714"/>
      <c r="AV107" s="710"/>
      <c r="AW107" s="710"/>
      <c r="AX107" s="710"/>
      <c r="AY107" s="1121" t="str">
        <f t="shared" si="57"/>
        <v/>
      </c>
      <c r="BC107" s="5"/>
      <c r="CA107" s="35"/>
      <c r="CB107" s="35"/>
      <c r="CC107" s="142" t="str">
        <f t="shared" ref="CC107:CC120" si="100">IF(AND(D107&gt;0,OR(AP107=""))," * No olvide digitar la variable Pueblos Originarios Hombres. Digite Cero si no tiene.",IF(AP107&gt;D107," * La variable Pueblos Originarios Hombres no puede ser Mayor al Total Hombres.",""))</f>
        <v/>
      </c>
      <c r="CD107" s="142" t="str">
        <f t="shared" si="83"/>
        <v/>
      </c>
      <c r="CE107" s="142" t="str">
        <f t="shared" si="84"/>
        <v/>
      </c>
      <c r="CF107" s="142" t="str">
        <f t="shared" si="85"/>
        <v/>
      </c>
      <c r="CG107" s="35"/>
      <c r="CH107" s="35"/>
      <c r="CI107" s="142" t="str">
        <f t="shared" si="86"/>
        <v/>
      </c>
      <c r="CJ107" s="142" t="str">
        <f t="shared" si="76"/>
        <v/>
      </c>
      <c r="CK107" s="142" t="str">
        <f t="shared" si="87"/>
        <v/>
      </c>
      <c r="CN107" s="35"/>
      <c r="CO107" s="35"/>
      <c r="CP107" s="34">
        <f t="shared" si="95"/>
        <v>0</v>
      </c>
      <c r="CQ107" s="34">
        <f t="shared" si="96"/>
        <v>0</v>
      </c>
      <c r="CR107" s="34">
        <f t="shared" si="97"/>
        <v>0</v>
      </c>
      <c r="CS107" s="34">
        <f t="shared" si="98"/>
        <v>0</v>
      </c>
      <c r="CT107" s="35"/>
      <c r="CU107" s="35"/>
      <c r="CV107" s="34">
        <f t="shared" si="92"/>
        <v>0</v>
      </c>
      <c r="CW107" s="34">
        <f t="shared" si="72"/>
        <v>0</v>
      </c>
      <c r="CX107" s="34">
        <f t="shared" si="91"/>
        <v>0</v>
      </c>
      <c r="CY107" s="800"/>
      <c r="DM107" s="5"/>
      <c r="DN107" s="5"/>
      <c r="DO107" s="5"/>
    </row>
    <row r="108" spans="1:124" ht="15" customHeight="1">
      <c r="A108" s="1980"/>
      <c r="B108" s="1252" t="s">
        <v>620</v>
      </c>
      <c r="C108" s="1259">
        <f t="shared" si="79"/>
        <v>0</v>
      </c>
      <c r="D108" s="777">
        <f t="shared" si="99"/>
        <v>0</v>
      </c>
      <c r="E108" s="1134">
        <f t="shared" si="99"/>
        <v>0</v>
      </c>
      <c r="F108" s="744"/>
      <c r="G108" s="745"/>
      <c r="H108" s="744"/>
      <c r="I108" s="745"/>
      <c r="J108" s="744"/>
      <c r="K108" s="745"/>
      <c r="L108" s="744"/>
      <c r="M108" s="745"/>
      <c r="N108" s="744"/>
      <c r="O108" s="745"/>
      <c r="P108" s="744"/>
      <c r="Q108" s="745"/>
      <c r="R108" s="722"/>
      <c r="S108" s="723"/>
      <c r="T108" s="722"/>
      <c r="U108" s="723"/>
      <c r="V108" s="722"/>
      <c r="W108" s="723"/>
      <c r="X108" s="722"/>
      <c r="Y108" s="723"/>
      <c r="Z108" s="722"/>
      <c r="AA108" s="723"/>
      <c r="AB108" s="722"/>
      <c r="AC108" s="723"/>
      <c r="AD108" s="722"/>
      <c r="AE108" s="723"/>
      <c r="AF108" s="722"/>
      <c r="AG108" s="723"/>
      <c r="AH108" s="722"/>
      <c r="AI108" s="723"/>
      <c r="AJ108" s="722"/>
      <c r="AK108" s="723"/>
      <c r="AL108" s="722"/>
      <c r="AM108" s="723"/>
      <c r="AN108" s="1253"/>
      <c r="AO108" s="1254"/>
      <c r="AP108" s="722"/>
      <c r="AQ108" s="850"/>
      <c r="AR108" s="852"/>
      <c r="AS108" s="723"/>
      <c r="AT108" s="745"/>
      <c r="AU108" s="745"/>
      <c r="AV108" s="723"/>
      <c r="AW108" s="723"/>
      <c r="AX108" s="723"/>
      <c r="AY108" s="1121" t="str">
        <f t="shared" si="57"/>
        <v/>
      </c>
      <c r="BC108" s="5"/>
      <c r="CA108" s="35"/>
      <c r="CB108" s="35"/>
      <c r="CC108" s="142" t="str">
        <f t="shared" si="100"/>
        <v/>
      </c>
      <c r="CD108" s="142" t="str">
        <f t="shared" si="83"/>
        <v/>
      </c>
      <c r="CE108" s="142" t="str">
        <f t="shared" si="84"/>
        <v/>
      </c>
      <c r="CF108" s="142" t="str">
        <f t="shared" si="85"/>
        <v/>
      </c>
      <c r="CG108" s="35"/>
      <c r="CH108" s="35"/>
      <c r="CI108" s="142" t="str">
        <f t="shared" si="86"/>
        <v/>
      </c>
      <c r="CJ108" s="142" t="str">
        <f t="shared" si="76"/>
        <v/>
      </c>
      <c r="CK108" s="142" t="str">
        <f t="shared" si="87"/>
        <v/>
      </c>
      <c r="CN108" s="35"/>
      <c r="CO108" s="35"/>
      <c r="CP108" s="34">
        <f t="shared" si="95"/>
        <v>0</v>
      </c>
      <c r="CQ108" s="34">
        <f t="shared" si="96"/>
        <v>0</v>
      </c>
      <c r="CR108" s="34">
        <f t="shared" si="97"/>
        <v>0</v>
      </c>
      <c r="CS108" s="34">
        <f t="shared" si="98"/>
        <v>0</v>
      </c>
      <c r="CT108" s="35"/>
      <c r="CU108" s="35"/>
      <c r="CV108" s="34">
        <f t="shared" si="92"/>
        <v>0</v>
      </c>
      <c r="CW108" s="34">
        <f t="shared" si="72"/>
        <v>0</v>
      </c>
      <c r="CX108" s="34">
        <f t="shared" si="91"/>
        <v>0</v>
      </c>
      <c r="CY108" s="800"/>
      <c r="DM108" s="5"/>
      <c r="DN108" s="5"/>
      <c r="DO108" s="5"/>
    </row>
    <row r="109" spans="1:124" ht="15" customHeight="1">
      <c r="A109" s="2173" t="s">
        <v>621</v>
      </c>
      <c r="B109" s="2174"/>
      <c r="C109" s="965">
        <f t="shared" si="79"/>
        <v>0</v>
      </c>
      <c r="D109" s="707">
        <f t="shared" si="99"/>
        <v>0</v>
      </c>
      <c r="E109" s="707">
        <f t="shared" si="99"/>
        <v>0</v>
      </c>
      <c r="F109" s="751"/>
      <c r="G109" s="752"/>
      <c r="H109" s="751"/>
      <c r="I109" s="752"/>
      <c r="J109" s="751"/>
      <c r="K109" s="752"/>
      <c r="L109" s="751"/>
      <c r="M109" s="752"/>
      <c r="N109" s="751"/>
      <c r="O109" s="752"/>
      <c r="P109" s="751"/>
      <c r="Q109" s="752"/>
      <c r="R109" s="751"/>
      <c r="S109" s="752"/>
      <c r="T109" s="751"/>
      <c r="U109" s="752"/>
      <c r="V109" s="751"/>
      <c r="W109" s="752"/>
      <c r="X109" s="751"/>
      <c r="Y109" s="752"/>
      <c r="Z109" s="751"/>
      <c r="AA109" s="752"/>
      <c r="AB109" s="751"/>
      <c r="AC109" s="752"/>
      <c r="AD109" s="751"/>
      <c r="AE109" s="752"/>
      <c r="AF109" s="751"/>
      <c r="AG109" s="752"/>
      <c r="AH109" s="751"/>
      <c r="AI109" s="752"/>
      <c r="AJ109" s="751"/>
      <c r="AK109" s="752"/>
      <c r="AL109" s="751"/>
      <c r="AM109" s="752"/>
      <c r="AN109" s="1219"/>
      <c r="AO109" s="1129"/>
      <c r="AP109" s="751"/>
      <c r="AQ109" s="788"/>
      <c r="AR109" s="789"/>
      <c r="AS109" s="752"/>
      <c r="AT109" s="752"/>
      <c r="AU109" s="752"/>
      <c r="AV109" s="752"/>
      <c r="AW109" s="752"/>
      <c r="AX109" s="752"/>
      <c r="AY109" s="1121" t="str">
        <f t="shared" si="57"/>
        <v/>
      </c>
      <c r="BC109" s="5"/>
      <c r="CA109" s="142" t="str">
        <f t="shared" ref="CA109:CA120" si="101">IF(AND(E109&gt;0,OR(AN109=""))," * No olvide digitar la variable Gestantes. Digite Cero si no tiene.",IF(AN109&gt;E109," * La variable Gestantes no puede ser Mayor al Total Mujeres.",""))</f>
        <v/>
      </c>
      <c r="CB109" s="142" t="str">
        <f t="shared" ref="CB109:CB120" si="102">IF(AND(E109&gt;0,OR(AO109=""))," * No olvide digitar la variable Madre de hijo menor de 5 años. Digite Cero si no tiene.",IF(AO109&gt;E109," * La variable Madre de hijo menor de 5 años no puede ser Mayor al Total Mujeres.",""))</f>
        <v/>
      </c>
      <c r="CC109" s="142" t="str">
        <f t="shared" si="100"/>
        <v/>
      </c>
      <c r="CD109" s="142" t="str">
        <f t="shared" si="83"/>
        <v/>
      </c>
      <c r="CE109" s="142" t="str">
        <f t="shared" si="84"/>
        <v/>
      </c>
      <c r="CF109" s="142" t="str">
        <f t="shared" si="85"/>
        <v/>
      </c>
      <c r="CG109" s="142" t="str">
        <f t="shared" ref="CG109:CG120" si="103">IF(AND($C109&gt;0,OR(AT109=""))," * No olvide digitar la variable Niños, Niñas, Adolescentes y Jóvenes SENAME. Digite Cero si no tiene.",IF(AT109&gt;$C109," * La variable Niños, Niñas, Adolescentes y Jóvenes SENAME no puede ser Mayor al Total ambos sexos.",""))</f>
        <v/>
      </c>
      <c r="CH109" s="142" t="str">
        <f t="shared" ref="CH109:CH120" si="104">IF(AND($C109&gt;0,OR(AU109=""))," * No olvide digitar la variable Niños y niñas Mejor Niñez. Digite Cero si no tiene.",IF(AU109&gt;$C109," * La variable Niños y niñas Mejor Niñez no puede ser Mayor al Total ambos sexos.",""))</f>
        <v/>
      </c>
      <c r="CI109" s="142" t="str">
        <f t="shared" si="86"/>
        <v/>
      </c>
      <c r="CJ109" s="142" t="str">
        <f t="shared" si="76"/>
        <v/>
      </c>
      <c r="CK109" s="142" t="str">
        <f t="shared" si="87"/>
        <v/>
      </c>
      <c r="CN109" s="34">
        <f t="shared" ref="CN109:CO120" si="105">IF(AND($E109&gt;0,OR(AN109="")),1,IF(AN109&gt;$E109,1,0))</f>
        <v>0</v>
      </c>
      <c r="CO109" s="34">
        <f t="shared" si="105"/>
        <v>0</v>
      </c>
      <c r="CP109" s="34">
        <f t="shared" si="95"/>
        <v>0</v>
      </c>
      <c r="CQ109" s="34">
        <f t="shared" si="96"/>
        <v>0</v>
      </c>
      <c r="CR109" s="34">
        <f t="shared" si="97"/>
        <v>0</v>
      </c>
      <c r="CS109" s="34">
        <f t="shared" si="98"/>
        <v>0</v>
      </c>
      <c r="CT109" s="34">
        <f t="shared" ref="CT109:CV120" si="106">IF(AND($C109&gt;0,OR(AT109="")),1,IF(AT109&gt;$C109,1,0))</f>
        <v>0</v>
      </c>
      <c r="CU109" s="34">
        <f t="shared" si="106"/>
        <v>0</v>
      </c>
      <c r="CV109" s="34">
        <f t="shared" si="92"/>
        <v>0</v>
      </c>
      <c r="CW109" s="34">
        <f t="shared" si="72"/>
        <v>0</v>
      </c>
      <c r="CX109" s="34">
        <f t="shared" si="91"/>
        <v>0</v>
      </c>
      <c r="CY109" s="800"/>
      <c r="DM109" s="5"/>
      <c r="DN109" s="5"/>
      <c r="DO109" s="5"/>
    </row>
    <row r="110" spans="1:124" ht="15" customHeight="1">
      <c r="A110" s="2175" t="s">
        <v>622</v>
      </c>
      <c r="B110" s="2176"/>
      <c r="C110" s="965">
        <f t="shared" si="79"/>
        <v>0</v>
      </c>
      <c r="D110" s="740">
        <f t="shared" si="99"/>
        <v>0</v>
      </c>
      <c r="E110" s="1125">
        <f t="shared" si="99"/>
        <v>0</v>
      </c>
      <c r="F110" s="751"/>
      <c r="G110" s="752"/>
      <c r="H110" s="751"/>
      <c r="I110" s="752"/>
      <c r="J110" s="751"/>
      <c r="K110" s="752"/>
      <c r="L110" s="751"/>
      <c r="M110" s="752"/>
      <c r="N110" s="751"/>
      <c r="O110" s="752"/>
      <c r="P110" s="751"/>
      <c r="Q110" s="752"/>
      <c r="R110" s="751"/>
      <c r="S110" s="752"/>
      <c r="T110" s="751"/>
      <c r="U110" s="752"/>
      <c r="V110" s="751"/>
      <c r="W110" s="752"/>
      <c r="X110" s="751"/>
      <c r="Y110" s="752"/>
      <c r="Z110" s="751"/>
      <c r="AA110" s="752"/>
      <c r="AB110" s="751"/>
      <c r="AC110" s="752"/>
      <c r="AD110" s="751"/>
      <c r="AE110" s="752"/>
      <c r="AF110" s="751"/>
      <c r="AG110" s="752"/>
      <c r="AH110" s="751"/>
      <c r="AI110" s="752"/>
      <c r="AJ110" s="751"/>
      <c r="AK110" s="752"/>
      <c r="AL110" s="751"/>
      <c r="AM110" s="752"/>
      <c r="AN110" s="1219"/>
      <c r="AO110" s="1129"/>
      <c r="AP110" s="751"/>
      <c r="AQ110" s="788"/>
      <c r="AR110" s="789"/>
      <c r="AS110" s="752"/>
      <c r="AT110" s="752"/>
      <c r="AU110" s="752"/>
      <c r="AV110" s="752"/>
      <c r="AW110" s="752"/>
      <c r="AX110" s="752"/>
      <c r="AY110" s="1121" t="str">
        <f t="shared" si="57"/>
        <v/>
      </c>
      <c r="BC110" s="5"/>
      <c r="CA110" s="142" t="str">
        <f t="shared" si="101"/>
        <v/>
      </c>
      <c r="CB110" s="142" t="str">
        <f t="shared" si="102"/>
        <v/>
      </c>
      <c r="CC110" s="142" t="str">
        <f t="shared" si="100"/>
        <v/>
      </c>
      <c r="CD110" s="142" t="str">
        <f t="shared" si="83"/>
        <v/>
      </c>
      <c r="CE110" s="142" t="str">
        <f t="shared" si="84"/>
        <v/>
      </c>
      <c r="CF110" s="142" t="str">
        <f t="shared" si="85"/>
        <v/>
      </c>
      <c r="CG110" s="142" t="str">
        <f t="shared" si="103"/>
        <v/>
      </c>
      <c r="CH110" s="142" t="str">
        <f t="shared" si="104"/>
        <v/>
      </c>
      <c r="CI110" s="142" t="str">
        <f t="shared" si="86"/>
        <v/>
      </c>
      <c r="CJ110" s="142" t="str">
        <f t="shared" si="76"/>
        <v/>
      </c>
      <c r="CK110" s="142" t="str">
        <f t="shared" si="87"/>
        <v/>
      </c>
      <c r="CN110" s="34">
        <f t="shared" si="105"/>
        <v>0</v>
      </c>
      <c r="CO110" s="34">
        <f t="shared" si="105"/>
        <v>0</v>
      </c>
      <c r="CP110" s="34">
        <f t="shared" si="95"/>
        <v>0</v>
      </c>
      <c r="CQ110" s="34">
        <f t="shared" si="96"/>
        <v>0</v>
      </c>
      <c r="CR110" s="34">
        <f t="shared" si="97"/>
        <v>0</v>
      </c>
      <c r="CS110" s="34">
        <f t="shared" si="98"/>
        <v>0</v>
      </c>
      <c r="CT110" s="34">
        <f t="shared" si="106"/>
        <v>0</v>
      </c>
      <c r="CU110" s="34">
        <f t="shared" si="106"/>
        <v>0</v>
      </c>
      <c r="CV110" s="34">
        <f t="shared" si="92"/>
        <v>0</v>
      </c>
      <c r="CW110" s="34">
        <f t="shared" si="72"/>
        <v>0</v>
      </c>
      <c r="CX110" s="34">
        <f t="shared" si="91"/>
        <v>0</v>
      </c>
      <c r="CY110" s="800"/>
      <c r="DM110" s="5"/>
      <c r="DN110" s="5"/>
      <c r="DO110" s="5"/>
    </row>
    <row r="111" spans="1:124" ht="15" customHeight="1">
      <c r="A111" s="2177" t="s">
        <v>623</v>
      </c>
      <c r="B111" s="2178"/>
      <c r="C111" s="1262">
        <f t="shared" si="79"/>
        <v>0</v>
      </c>
      <c r="D111" s="707">
        <f t="shared" si="99"/>
        <v>0</v>
      </c>
      <c r="E111" s="1144">
        <f t="shared" si="99"/>
        <v>0</v>
      </c>
      <c r="F111" s="709"/>
      <c r="G111" s="710"/>
      <c r="H111" s="709"/>
      <c r="I111" s="710"/>
      <c r="J111" s="709"/>
      <c r="K111" s="710"/>
      <c r="L111" s="709"/>
      <c r="M111" s="710"/>
      <c r="N111" s="709"/>
      <c r="O111" s="710"/>
      <c r="P111" s="709"/>
      <c r="Q111" s="710"/>
      <c r="R111" s="709"/>
      <c r="S111" s="710"/>
      <c r="T111" s="709"/>
      <c r="U111" s="710"/>
      <c r="V111" s="709"/>
      <c r="W111" s="710"/>
      <c r="X111" s="709"/>
      <c r="Y111" s="710"/>
      <c r="Z111" s="709"/>
      <c r="AA111" s="710"/>
      <c r="AB111" s="709"/>
      <c r="AC111" s="710"/>
      <c r="AD111" s="709"/>
      <c r="AE111" s="710"/>
      <c r="AF111" s="709"/>
      <c r="AG111" s="710"/>
      <c r="AH111" s="709"/>
      <c r="AI111" s="710"/>
      <c r="AJ111" s="709"/>
      <c r="AK111" s="710"/>
      <c r="AL111" s="709"/>
      <c r="AM111" s="710"/>
      <c r="AN111" s="1229"/>
      <c r="AO111" s="1143"/>
      <c r="AP111" s="709"/>
      <c r="AQ111" s="900"/>
      <c r="AR111" s="928"/>
      <c r="AS111" s="710"/>
      <c r="AT111" s="710"/>
      <c r="AU111" s="710"/>
      <c r="AV111" s="710"/>
      <c r="AW111" s="710"/>
      <c r="AX111" s="710"/>
      <c r="AY111" s="1121" t="str">
        <f t="shared" si="57"/>
        <v/>
      </c>
      <c r="BC111" s="5"/>
      <c r="CA111" s="142" t="str">
        <f t="shared" si="101"/>
        <v/>
      </c>
      <c r="CB111" s="142" t="str">
        <f t="shared" si="102"/>
        <v/>
      </c>
      <c r="CC111" s="142" t="str">
        <f t="shared" si="100"/>
        <v/>
      </c>
      <c r="CD111" s="142" t="str">
        <f t="shared" si="83"/>
        <v/>
      </c>
      <c r="CE111" s="142" t="str">
        <f t="shared" si="84"/>
        <v/>
      </c>
      <c r="CF111" s="142" t="str">
        <f t="shared" si="85"/>
        <v/>
      </c>
      <c r="CG111" s="142" t="str">
        <f t="shared" si="103"/>
        <v/>
      </c>
      <c r="CH111" s="142" t="str">
        <f t="shared" si="104"/>
        <v/>
      </c>
      <c r="CI111" s="142" t="str">
        <f t="shared" si="86"/>
        <v/>
      </c>
      <c r="CJ111" s="142" t="str">
        <f t="shared" si="76"/>
        <v/>
      </c>
      <c r="CK111" s="142" t="str">
        <f t="shared" si="87"/>
        <v/>
      </c>
      <c r="CN111" s="34">
        <f t="shared" si="105"/>
        <v>0</v>
      </c>
      <c r="CO111" s="34">
        <f t="shared" si="105"/>
        <v>0</v>
      </c>
      <c r="CP111" s="34">
        <f t="shared" si="95"/>
        <v>0</v>
      </c>
      <c r="CQ111" s="34">
        <f t="shared" si="96"/>
        <v>0</v>
      </c>
      <c r="CR111" s="34">
        <f t="shared" si="97"/>
        <v>0</v>
      </c>
      <c r="CS111" s="34">
        <f t="shared" si="98"/>
        <v>0</v>
      </c>
      <c r="CT111" s="34">
        <f t="shared" si="106"/>
        <v>0</v>
      </c>
      <c r="CU111" s="34">
        <f t="shared" si="106"/>
        <v>0</v>
      </c>
      <c r="CV111" s="34">
        <f t="shared" si="92"/>
        <v>0</v>
      </c>
      <c r="CW111" s="34">
        <f t="shared" si="72"/>
        <v>0</v>
      </c>
      <c r="CX111" s="34">
        <f t="shared" si="91"/>
        <v>0</v>
      </c>
      <c r="CY111" s="800"/>
      <c r="DM111" s="5"/>
      <c r="DN111" s="5"/>
      <c r="DO111" s="5"/>
    </row>
    <row r="112" spans="1:124" ht="15" customHeight="1">
      <c r="A112" s="2177" t="s">
        <v>624</v>
      </c>
      <c r="B112" s="2178"/>
      <c r="C112" s="1262">
        <f t="shared" si="79"/>
        <v>0</v>
      </c>
      <c r="D112" s="707">
        <f t="shared" si="99"/>
        <v>0</v>
      </c>
      <c r="E112" s="1144">
        <f t="shared" si="99"/>
        <v>0</v>
      </c>
      <c r="F112" s="709"/>
      <c r="G112" s="710"/>
      <c r="H112" s="709"/>
      <c r="I112" s="710"/>
      <c r="J112" s="709"/>
      <c r="K112" s="710"/>
      <c r="L112" s="709"/>
      <c r="M112" s="710"/>
      <c r="N112" s="709"/>
      <c r="O112" s="710"/>
      <c r="P112" s="709"/>
      <c r="Q112" s="710"/>
      <c r="R112" s="709"/>
      <c r="S112" s="710"/>
      <c r="T112" s="709"/>
      <c r="U112" s="710"/>
      <c r="V112" s="709"/>
      <c r="W112" s="710"/>
      <c r="X112" s="709"/>
      <c r="Y112" s="710"/>
      <c r="Z112" s="709"/>
      <c r="AA112" s="710"/>
      <c r="AB112" s="709"/>
      <c r="AC112" s="710"/>
      <c r="AD112" s="709"/>
      <c r="AE112" s="710"/>
      <c r="AF112" s="709"/>
      <c r="AG112" s="710"/>
      <c r="AH112" s="709"/>
      <c r="AI112" s="710"/>
      <c r="AJ112" s="709"/>
      <c r="AK112" s="710"/>
      <c r="AL112" s="709"/>
      <c r="AM112" s="710"/>
      <c r="AN112" s="1229"/>
      <c r="AO112" s="1143"/>
      <c r="AP112" s="709"/>
      <c r="AQ112" s="900"/>
      <c r="AR112" s="928"/>
      <c r="AS112" s="710"/>
      <c r="AT112" s="710"/>
      <c r="AU112" s="710"/>
      <c r="AV112" s="710"/>
      <c r="AW112" s="710"/>
      <c r="AX112" s="710"/>
      <c r="AY112" s="1121" t="str">
        <f t="shared" si="57"/>
        <v/>
      </c>
      <c r="BC112" s="5"/>
      <c r="CA112" s="142" t="str">
        <f t="shared" si="101"/>
        <v/>
      </c>
      <c r="CB112" s="142" t="str">
        <f t="shared" si="102"/>
        <v/>
      </c>
      <c r="CC112" s="142" t="str">
        <f t="shared" si="100"/>
        <v/>
      </c>
      <c r="CD112" s="142" t="str">
        <f t="shared" si="83"/>
        <v/>
      </c>
      <c r="CE112" s="142" t="str">
        <f t="shared" si="84"/>
        <v/>
      </c>
      <c r="CF112" s="142" t="str">
        <f t="shared" si="85"/>
        <v/>
      </c>
      <c r="CG112" s="142" t="str">
        <f t="shared" si="103"/>
        <v/>
      </c>
      <c r="CH112" s="142" t="str">
        <f t="shared" si="104"/>
        <v/>
      </c>
      <c r="CI112" s="142" t="str">
        <f t="shared" si="86"/>
        <v/>
      </c>
      <c r="CJ112" s="142" t="str">
        <f t="shared" si="76"/>
        <v/>
      </c>
      <c r="CK112" s="142" t="str">
        <f t="shared" si="87"/>
        <v/>
      </c>
      <c r="CN112" s="34">
        <f t="shared" si="105"/>
        <v>0</v>
      </c>
      <c r="CO112" s="34">
        <f t="shared" si="105"/>
        <v>0</v>
      </c>
      <c r="CP112" s="34">
        <f t="shared" si="95"/>
        <v>0</v>
      </c>
      <c r="CQ112" s="34">
        <f t="shared" si="96"/>
        <v>0</v>
      </c>
      <c r="CR112" s="34">
        <f t="shared" si="97"/>
        <v>0</v>
      </c>
      <c r="CS112" s="34">
        <f t="shared" si="98"/>
        <v>0</v>
      </c>
      <c r="CT112" s="34">
        <f t="shared" si="106"/>
        <v>0</v>
      </c>
      <c r="CU112" s="34">
        <f t="shared" si="106"/>
        <v>0</v>
      </c>
      <c r="CV112" s="34">
        <f t="shared" si="92"/>
        <v>0</v>
      </c>
      <c r="CW112" s="34">
        <f t="shared" si="72"/>
        <v>0</v>
      </c>
      <c r="CX112" s="34">
        <f t="shared" si="91"/>
        <v>0</v>
      </c>
      <c r="CY112" s="800"/>
      <c r="DM112" s="5"/>
      <c r="DN112" s="5"/>
      <c r="DO112" s="5"/>
    </row>
    <row r="113" spans="1:119" ht="15" customHeight="1">
      <c r="A113" s="2170" t="s">
        <v>625</v>
      </c>
      <c r="B113" s="2171"/>
      <c r="C113" s="962">
        <f t="shared" si="79"/>
        <v>0</v>
      </c>
      <c r="D113" s="733">
        <f t="shared" si="99"/>
        <v>0</v>
      </c>
      <c r="E113" s="1131">
        <f t="shared" si="99"/>
        <v>0</v>
      </c>
      <c r="F113" s="722"/>
      <c r="G113" s="723"/>
      <c r="H113" s="722"/>
      <c r="I113" s="723"/>
      <c r="J113" s="722"/>
      <c r="K113" s="723"/>
      <c r="L113" s="722"/>
      <c r="M113" s="723"/>
      <c r="N113" s="722"/>
      <c r="O113" s="723"/>
      <c r="P113" s="722"/>
      <c r="Q113" s="723"/>
      <c r="R113" s="722"/>
      <c r="S113" s="723"/>
      <c r="T113" s="722"/>
      <c r="U113" s="723"/>
      <c r="V113" s="722"/>
      <c r="W113" s="723"/>
      <c r="X113" s="722"/>
      <c r="Y113" s="723"/>
      <c r="Z113" s="722"/>
      <c r="AA113" s="723"/>
      <c r="AB113" s="722"/>
      <c r="AC113" s="723"/>
      <c r="AD113" s="722"/>
      <c r="AE113" s="723"/>
      <c r="AF113" s="722"/>
      <c r="AG113" s="723"/>
      <c r="AH113" s="722"/>
      <c r="AI113" s="723"/>
      <c r="AJ113" s="722"/>
      <c r="AK113" s="723"/>
      <c r="AL113" s="722"/>
      <c r="AM113" s="723"/>
      <c r="AN113" s="1220"/>
      <c r="AO113" s="1133"/>
      <c r="AP113" s="722"/>
      <c r="AQ113" s="850"/>
      <c r="AR113" s="852"/>
      <c r="AS113" s="723"/>
      <c r="AT113" s="723"/>
      <c r="AU113" s="723"/>
      <c r="AV113" s="723"/>
      <c r="AW113" s="723"/>
      <c r="AX113" s="723"/>
      <c r="AY113" s="1121" t="str">
        <f t="shared" si="57"/>
        <v/>
      </c>
      <c r="BC113" s="5"/>
      <c r="CA113" s="142" t="str">
        <f t="shared" si="101"/>
        <v/>
      </c>
      <c r="CB113" s="142" t="str">
        <f t="shared" si="102"/>
        <v/>
      </c>
      <c r="CC113" s="142" t="str">
        <f t="shared" si="100"/>
        <v/>
      </c>
      <c r="CD113" s="142" t="str">
        <f t="shared" si="83"/>
        <v/>
      </c>
      <c r="CE113" s="142" t="str">
        <f t="shared" si="84"/>
        <v/>
      </c>
      <c r="CF113" s="142" t="str">
        <f t="shared" si="85"/>
        <v/>
      </c>
      <c r="CG113" s="142" t="str">
        <f t="shared" si="103"/>
        <v/>
      </c>
      <c r="CH113" s="142" t="str">
        <f t="shared" si="104"/>
        <v/>
      </c>
      <c r="CI113" s="142" t="str">
        <f t="shared" si="86"/>
        <v/>
      </c>
      <c r="CJ113" s="142" t="str">
        <f t="shared" si="76"/>
        <v/>
      </c>
      <c r="CK113" s="142" t="str">
        <f t="shared" si="87"/>
        <v/>
      </c>
      <c r="CN113" s="34">
        <f t="shared" si="105"/>
        <v>0</v>
      </c>
      <c r="CO113" s="34">
        <f t="shared" si="105"/>
        <v>0</v>
      </c>
      <c r="CP113" s="34">
        <f t="shared" si="95"/>
        <v>0</v>
      </c>
      <c r="CQ113" s="34">
        <f t="shared" si="96"/>
        <v>0</v>
      </c>
      <c r="CR113" s="34">
        <f t="shared" si="97"/>
        <v>0</v>
      </c>
      <c r="CS113" s="34">
        <f t="shared" si="98"/>
        <v>0</v>
      </c>
      <c r="CT113" s="34">
        <f t="shared" si="106"/>
        <v>0</v>
      </c>
      <c r="CU113" s="34">
        <f t="shared" si="106"/>
        <v>0</v>
      </c>
      <c r="CV113" s="34">
        <f t="shared" si="106"/>
        <v>0</v>
      </c>
      <c r="CW113" s="34">
        <f t="shared" si="72"/>
        <v>0</v>
      </c>
      <c r="CX113" s="34">
        <f t="shared" si="91"/>
        <v>0</v>
      </c>
      <c r="CY113" s="800"/>
      <c r="DM113" s="5"/>
      <c r="DN113" s="5"/>
      <c r="DO113" s="5"/>
    </row>
    <row r="114" spans="1:119" ht="15" customHeight="1">
      <c r="A114" s="2167" t="s">
        <v>626</v>
      </c>
      <c r="B114" s="1154" t="s">
        <v>374</v>
      </c>
      <c r="C114" s="962">
        <f t="shared" si="79"/>
        <v>0</v>
      </c>
      <c r="D114" s="845">
        <f t="shared" si="99"/>
        <v>0</v>
      </c>
      <c r="E114" s="1176">
        <f t="shared" si="99"/>
        <v>0</v>
      </c>
      <c r="F114" s="751"/>
      <c r="G114" s="752"/>
      <c r="H114" s="751"/>
      <c r="I114" s="752"/>
      <c r="J114" s="751"/>
      <c r="K114" s="752"/>
      <c r="L114" s="751"/>
      <c r="M114" s="752"/>
      <c r="N114" s="751"/>
      <c r="O114" s="752"/>
      <c r="P114" s="751"/>
      <c r="Q114" s="752"/>
      <c r="R114" s="751"/>
      <c r="S114" s="752"/>
      <c r="T114" s="751"/>
      <c r="U114" s="752"/>
      <c r="V114" s="751"/>
      <c r="W114" s="752"/>
      <c r="X114" s="751"/>
      <c r="Y114" s="752"/>
      <c r="Z114" s="751"/>
      <c r="AA114" s="752"/>
      <c r="AB114" s="751"/>
      <c r="AC114" s="752"/>
      <c r="AD114" s="751"/>
      <c r="AE114" s="752"/>
      <c r="AF114" s="751"/>
      <c r="AG114" s="752"/>
      <c r="AH114" s="751"/>
      <c r="AI114" s="752"/>
      <c r="AJ114" s="751"/>
      <c r="AK114" s="752"/>
      <c r="AL114" s="751"/>
      <c r="AM114" s="752"/>
      <c r="AN114" s="1219"/>
      <c r="AO114" s="1129"/>
      <c r="AP114" s="751"/>
      <c r="AQ114" s="788"/>
      <c r="AR114" s="789"/>
      <c r="AS114" s="752"/>
      <c r="AT114" s="752"/>
      <c r="AU114" s="752"/>
      <c r="AV114" s="752"/>
      <c r="AW114" s="752"/>
      <c r="AX114" s="752"/>
      <c r="AY114" s="1121" t="str">
        <f t="shared" si="57"/>
        <v/>
      </c>
      <c r="BC114" s="5"/>
      <c r="CA114" s="142" t="str">
        <f t="shared" si="101"/>
        <v/>
      </c>
      <c r="CB114" s="142" t="str">
        <f t="shared" si="102"/>
        <v/>
      </c>
      <c r="CC114" s="142" t="str">
        <f t="shared" si="100"/>
        <v/>
      </c>
      <c r="CD114" s="142" t="str">
        <f t="shared" si="83"/>
        <v/>
      </c>
      <c r="CE114" s="142" t="str">
        <f t="shared" si="84"/>
        <v/>
      </c>
      <c r="CF114" s="142" t="str">
        <f t="shared" si="85"/>
        <v/>
      </c>
      <c r="CG114" s="142" t="str">
        <f t="shared" si="103"/>
        <v/>
      </c>
      <c r="CH114" s="142" t="str">
        <f t="shared" si="104"/>
        <v/>
      </c>
      <c r="CI114" s="142" t="str">
        <f t="shared" si="86"/>
        <v/>
      </c>
      <c r="CJ114" s="142" t="str">
        <f t="shared" si="76"/>
        <v/>
      </c>
      <c r="CK114" s="142" t="str">
        <f t="shared" si="87"/>
        <v/>
      </c>
      <c r="CN114" s="34">
        <f t="shared" si="105"/>
        <v>0</v>
      </c>
      <c r="CO114" s="34">
        <f t="shared" si="105"/>
        <v>0</v>
      </c>
      <c r="CP114" s="34">
        <f t="shared" si="95"/>
        <v>0</v>
      </c>
      <c r="CQ114" s="34">
        <f t="shared" si="96"/>
        <v>0</v>
      </c>
      <c r="CR114" s="34">
        <f t="shared" si="97"/>
        <v>0</v>
      </c>
      <c r="CS114" s="34">
        <f t="shared" si="98"/>
        <v>0</v>
      </c>
      <c r="CT114" s="34">
        <f t="shared" si="106"/>
        <v>0</v>
      </c>
      <c r="CU114" s="34">
        <f t="shared" si="106"/>
        <v>0</v>
      </c>
      <c r="CV114" s="34">
        <f t="shared" si="106"/>
        <v>0</v>
      </c>
      <c r="CW114" s="34">
        <f t="shared" si="72"/>
        <v>0</v>
      </c>
      <c r="CX114" s="34">
        <f t="shared" si="91"/>
        <v>0</v>
      </c>
      <c r="CY114" s="800"/>
      <c r="DM114" s="5"/>
      <c r="DN114" s="5"/>
      <c r="DO114" s="5"/>
    </row>
    <row r="115" spans="1:119" ht="15" customHeight="1">
      <c r="A115" s="1990"/>
      <c r="B115" s="1157" t="s">
        <v>376</v>
      </c>
      <c r="C115" s="962">
        <f t="shared" si="79"/>
        <v>0</v>
      </c>
      <c r="D115" s="720">
        <f t="shared" si="99"/>
        <v>0</v>
      </c>
      <c r="E115" s="1146">
        <f t="shared" si="99"/>
        <v>0</v>
      </c>
      <c r="F115" s="709"/>
      <c r="G115" s="710"/>
      <c r="H115" s="709"/>
      <c r="I115" s="710"/>
      <c r="J115" s="709"/>
      <c r="K115" s="710"/>
      <c r="L115" s="709"/>
      <c r="M115" s="710"/>
      <c r="N115" s="709"/>
      <c r="O115" s="710"/>
      <c r="P115" s="709"/>
      <c r="Q115" s="710"/>
      <c r="R115" s="709"/>
      <c r="S115" s="710"/>
      <c r="T115" s="709"/>
      <c r="U115" s="710"/>
      <c r="V115" s="709"/>
      <c r="W115" s="710"/>
      <c r="X115" s="709"/>
      <c r="Y115" s="710"/>
      <c r="Z115" s="709"/>
      <c r="AA115" s="710"/>
      <c r="AB115" s="709"/>
      <c r="AC115" s="710"/>
      <c r="AD115" s="709"/>
      <c r="AE115" s="710"/>
      <c r="AF115" s="709"/>
      <c r="AG115" s="710"/>
      <c r="AH115" s="709"/>
      <c r="AI115" s="710"/>
      <c r="AJ115" s="709"/>
      <c r="AK115" s="710"/>
      <c r="AL115" s="709"/>
      <c r="AM115" s="710"/>
      <c r="AN115" s="1229"/>
      <c r="AO115" s="1143"/>
      <c r="AP115" s="709"/>
      <c r="AQ115" s="900"/>
      <c r="AR115" s="928"/>
      <c r="AS115" s="710"/>
      <c r="AT115" s="710"/>
      <c r="AU115" s="710"/>
      <c r="AV115" s="710"/>
      <c r="AW115" s="710"/>
      <c r="AX115" s="710"/>
      <c r="AY115" s="1121" t="str">
        <f t="shared" si="57"/>
        <v/>
      </c>
      <c r="BC115" s="5"/>
      <c r="CA115" s="142" t="str">
        <f t="shared" si="101"/>
        <v/>
      </c>
      <c r="CB115" s="142" t="str">
        <f t="shared" si="102"/>
        <v/>
      </c>
      <c r="CC115" s="142" t="str">
        <f t="shared" si="100"/>
        <v/>
      </c>
      <c r="CD115" s="142" t="str">
        <f t="shared" si="83"/>
        <v/>
      </c>
      <c r="CE115" s="142" t="str">
        <f t="shared" si="84"/>
        <v/>
      </c>
      <c r="CF115" s="142" t="str">
        <f t="shared" si="85"/>
        <v/>
      </c>
      <c r="CG115" s="142" t="str">
        <f t="shared" si="103"/>
        <v/>
      </c>
      <c r="CH115" s="142" t="str">
        <f t="shared" si="104"/>
        <v/>
      </c>
      <c r="CI115" s="142" t="str">
        <f t="shared" si="86"/>
        <v/>
      </c>
      <c r="CJ115" s="142" t="str">
        <f t="shared" si="76"/>
        <v/>
      </c>
      <c r="CK115" s="142" t="str">
        <f t="shared" si="87"/>
        <v/>
      </c>
      <c r="CN115" s="34">
        <f t="shared" si="105"/>
        <v>0</v>
      </c>
      <c r="CO115" s="34">
        <f t="shared" si="105"/>
        <v>0</v>
      </c>
      <c r="CP115" s="34">
        <f t="shared" si="95"/>
        <v>0</v>
      </c>
      <c r="CQ115" s="34">
        <f t="shared" si="96"/>
        <v>0</v>
      </c>
      <c r="CR115" s="34">
        <f t="shared" si="97"/>
        <v>0</v>
      </c>
      <c r="CS115" s="34">
        <f t="shared" si="98"/>
        <v>0</v>
      </c>
      <c r="CT115" s="34">
        <f t="shared" si="106"/>
        <v>0</v>
      </c>
      <c r="CU115" s="34">
        <f t="shared" si="106"/>
        <v>0</v>
      </c>
      <c r="CV115" s="34">
        <f t="shared" si="106"/>
        <v>0</v>
      </c>
      <c r="CW115" s="34">
        <f t="shared" si="72"/>
        <v>0</v>
      </c>
      <c r="CX115" s="34">
        <f t="shared" si="91"/>
        <v>0</v>
      </c>
      <c r="CY115" s="800"/>
      <c r="DM115" s="5"/>
      <c r="DN115" s="5"/>
      <c r="DO115" s="5"/>
    </row>
    <row r="116" spans="1:119" ht="15" customHeight="1">
      <c r="A116" s="1990"/>
      <c r="B116" s="1157" t="s">
        <v>650</v>
      </c>
      <c r="C116" s="962">
        <f t="shared" si="79"/>
        <v>0</v>
      </c>
      <c r="D116" s="720">
        <f t="shared" si="99"/>
        <v>0</v>
      </c>
      <c r="E116" s="1146">
        <f t="shared" si="99"/>
        <v>0</v>
      </c>
      <c r="F116" s="709"/>
      <c r="G116" s="710"/>
      <c r="H116" s="709"/>
      <c r="I116" s="710"/>
      <c r="J116" s="709"/>
      <c r="K116" s="710"/>
      <c r="L116" s="709"/>
      <c r="M116" s="710"/>
      <c r="N116" s="709"/>
      <c r="O116" s="710"/>
      <c r="P116" s="709"/>
      <c r="Q116" s="710"/>
      <c r="R116" s="709"/>
      <c r="S116" s="710"/>
      <c r="T116" s="709"/>
      <c r="U116" s="710"/>
      <c r="V116" s="709"/>
      <c r="W116" s="710"/>
      <c r="X116" s="709"/>
      <c r="Y116" s="710"/>
      <c r="Z116" s="709"/>
      <c r="AA116" s="710"/>
      <c r="AB116" s="709"/>
      <c r="AC116" s="710"/>
      <c r="AD116" s="709"/>
      <c r="AE116" s="710"/>
      <c r="AF116" s="709"/>
      <c r="AG116" s="710"/>
      <c r="AH116" s="709"/>
      <c r="AI116" s="710"/>
      <c r="AJ116" s="709"/>
      <c r="AK116" s="710"/>
      <c r="AL116" s="709"/>
      <c r="AM116" s="710"/>
      <c r="AN116" s="1229"/>
      <c r="AO116" s="1143"/>
      <c r="AP116" s="709"/>
      <c r="AQ116" s="900"/>
      <c r="AR116" s="928"/>
      <c r="AS116" s="710"/>
      <c r="AT116" s="710"/>
      <c r="AU116" s="710"/>
      <c r="AV116" s="710"/>
      <c r="AW116" s="710"/>
      <c r="AX116" s="710"/>
      <c r="AY116" s="1121" t="str">
        <f t="shared" si="57"/>
        <v/>
      </c>
      <c r="BC116" s="5"/>
      <c r="CA116" s="142" t="str">
        <f t="shared" si="101"/>
        <v/>
      </c>
      <c r="CB116" s="142" t="str">
        <f t="shared" si="102"/>
        <v/>
      </c>
      <c r="CC116" s="142" t="str">
        <f t="shared" si="100"/>
        <v/>
      </c>
      <c r="CD116" s="142" t="str">
        <f t="shared" si="83"/>
        <v/>
      </c>
      <c r="CE116" s="142" t="str">
        <f t="shared" si="84"/>
        <v/>
      </c>
      <c r="CF116" s="142" t="str">
        <f t="shared" si="85"/>
        <v/>
      </c>
      <c r="CG116" s="142" t="str">
        <f t="shared" si="103"/>
        <v/>
      </c>
      <c r="CH116" s="142" t="str">
        <f t="shared" si="104"/>
        <v/>
      </c>
      <c r="CI116" s="142" t="str">
        <f t="shared" si="86"/>
        <v/>
      </c>
      <c r="CJ116" s="142" t="str">
        <f t="shared" si="76"/>
        <v/>
      </c>
      <c r="CK116" s="142" t="str">
        <f t="shared" si="87"/>
        <v/>
      </c>
      <c r="CN116" s="34">
        <f t="shared" si="105"/>
        <v>0</v>
      </c>
      <c r="CO116" s="34">
        <f t="shared" si="105"/>
        <v>0</v>
      </c>
      <c r="CP116" s="34">
        <f t="shared" si="95"/>
        <v>0</v>
      </c>
      <c r="CQ116" s="34">
        <f t="shared" si="96"/>
        <v>0</v>
      </c>
      <c r="CR116" s="34">
        <f t="shared" si="97"/>
        <v>0</v>
      </c>
      <c r="CS116" s="34">
        <f t="shared" si="98"/>
        <v>0</v>
      </c>
      <c r="CT116" s="34">
        <f t="shared" si="106"/>
        <v>0</v>
      </c>
      <c r="CU116" s="34">
        <f t="shared" si="106"/>
        <v>0</v>
      </c>
      <c r="CV116" s="34">
        <f t="shared" si="106"/>
        <v>0</v>
      </c>
      <c r="CW116" s="34">
        <f t="shared" si="72"/>
        <v>0</v>
      </c>
      <c r="CX116" s="34">
        <f t="shared" si="91"/>
        <v>0</v>
      </c>
      <c r="CY116" s="800"/>
      <c r="DM116" s="5"/>
      <c r="DN116" s="5"/>
      <c r="DO116" s="5"/>
    </row>
    <row r="117" spans="1:119" ht="15" customHeight="1">
      <c r="A117" s="1990"/>
      <c r="B117" s="1157" t="s">
        <v>628</v>
      </c>
      <c r="C117" s="962">
        <f t="shared" si="79"/>
        <v>0</v>
      </c>
      <c r="D117" s="720">
        <f t="shared" si="99"/>
        <v>0</v>
      </c>
      <c r="E117" s="1146">
        <f t="shared" si="99"/>
        <v>0</v>
      </c>
      <c r="F117" s="709"/>
      <c r="G117" s="710"/>
      <c r="H117" s="709"/>
      <c r="I117" s="710"/>
      <c r="J117" s="709"/>
      <c r="K117" s="710"/>
      <c r="L117" s="709"/>
      <c r="M117" s="710"/>
      <c r="N117" s="709"/>
      <c r="O117" s="710"/>
      <c r="P117" s="709"/>
      <c r="Q117" s="710"/>
      <c r="R117" s="709"/>
      <c r="S117" s="710"/>
      <c r="T117" s="709"/>
      <c r="U117" s="710"/>
      <c r="V117" s="709"/>
      <c r="W117" s="710"/>
      <c r="X117" s="709"/>
      <c r="Y117" s="710"/>
      <c r="Z117" s="709"/>
      <c r="AA117" s="710"/>
      <c r="AB117" s="709"/>
      <c r="AC117" s="710"/>
      <c r="AD117" s="709"/>
      <c r="AE117" s="710"/>
      <c r="AF117" s="709"/>
      <c r="AG117" s="710"/>
      <c r="AH117" s="709"/>
      <c r="AI117" s="710"/>
      <c r="AJ117" s="709"/>
      <c r="AK117" s="710"/>
      <c r="AL117" s="709"/>
      <c r="AM117" s="710"/>
      <c r="AN117" s="1229"/>
      <c r="AO117" s="1143"/>
      <c r="AP117" s="709"/>
      <c r="AQ117" s="900"/>
      <c r="AR117" s="928"/>
      <c r="AS117" s="710"/>
      <c r="AT117" s="710"/>
      <c r="AU117" s="710"/>
      <c r="AV117" s="710"/>
      <c r="AW117" s="710"/>
      <c r="AX117" s="710"/>
      <c r="AY117" s="1121" t="str">
        <f t="shared" si="57"/>
        <v/>
      </c>
      <c r="BC117" s="5"/>
      <c r="CA117" s="142" t="str">
        <f t="shared" si="101"/>
        <v/>
      </c>
      <c r="CB117" s="142" t="str">
        <f t="shared" si="102"/>
        <v/>
      </c>
      <c r="CC117" s="142" t="str">
        <f t="shared" si="100"/>
        <v/>
      </c>
      <c r="CD117" s="142" t="str">
        <f t="shared" si="83"/>
        <v/>
      </c>
      <c r="CE117" s="142" t="str">
        <f t="shared" si="84"/>
        <v/>
      </c>
      <c r="CF117" s="142" t="str">
        <f t="shared" si="85"/>
        <v/>
      </c>
      <c r="CG117" s="142" t="str">
        <f t="shared" si="103"/>
        <v/>
      </c>
      <c r="CH117" s="142" t="str">
        <f t="shared" si="104"/>
        <v/>
      </c>
      <c r="CI117" s="142" t="str">
        <f t="shared" si="86"/>
        <v/>
      </c>
      <c r="CJ117" s="142" t="str">
        <f t="shared" si="76"/>
        <v/>
      </c>
      <c r="CK117" s="142" t="str">
        <f t="shared" si="87"/>
        <v/>
      </c>
      <c r="CN117" s="34">
        <f t="shared" si="105"/>
        <v>0</v>
      </c>
      <c r="CO117" s="34">
        <f t="shared" si="105"/>
        <v>0</v>
      </c>
      <c r="CP117" s="34">
        <f t="shared" si="95"/>
        <v>0</v>
      </c>
      <c r="CQ117" s="34">
        <f t="shared" si="96"/>
        <v>0</v>
      </c>
      <c r="CR117" s="34">
        <f t="shared" si="97"/>
        <v>0</v>
      </c>
      <c r="CS117" s="34">
        <f t="shared" si="98"/>
        <v>0</v>
      </c>
      <c r="CT117" s="34">
        <f t="shared" si="106"/>
        <v>0</v>
      </c>
      <c r="CU117" s="34">
        <f t="shared" si="106"/>
        <v>0</v>
      </c>
      <c r="CV117" s="34">
        <f t="shared" si="106"/>
        <v>0</v>
      </c>
      <c r="CW117" s="34">
        <f t="shared" si="72"/>
        <v>0</v>
      </c>
      <c r="CX117" s="34">
        <f t="shared" si="91"/>
        <v>0</v>
      </c>
      <c r="CY117" s="800"/>
      <c r="DM117" s="5"/>
      <c r="DN117" s="5"/>
      <c r="DO117" s="5"/>
    </row>
    <row r="118" spans="1:119" ht="15" customHeight="1">
      <c r="A118" s="1991"/>
      <c r="B118" s="1246" t="s">
        <v>651</v>
      </c>
      <c r="C118" s="962">
        <f t="shared" si="79"/>
        <v>0</v>
      </c>
      <c r="D118" s="733">
        <f t="shared" si="99"/>
        <v>0</v>
      </c>
      <c r="E118" s="1131">
        <f t="shared" si="99"/>
        <v>0</v>
      </c>
      <c r="F118" s="722"/>
      <c r="G118" s="723"/>
      <c r="H118" s="722"/>
      <c r="I118" s="723"/>
      <c r="J118" s="722"/>
      <c r="K118" s="723"/>
      <c r="L118" s="722"/>
      <c r="M118" s="723"/>
      <c r="N118" s="722"/>
      <c r="O118" s="723"/>
      <c r="P118" s="722"/>
      <c r="Q118" s="723"/>
      <c r="R118" s="722"/>
      <c r="S118" s="723"/>
      <c r="T118" s="722"/>
      <c r="U118" s="723"/>
      <c r="V118" s="722"/>
      <c r="W118" s="723"/>
      <c r="X118" s="722"/>
      <c r="Y118" s="723"/>
      <c r="Z118" s="722"/>
      <c r="AA118" s="723"/>
      <c r="AB118" s="722"/>
      <c r="AC118" s="723"/>
      <c r="AD118" s="722"/>
      <c r="AE118" s="723"/>
      <c r="AF118" s="722"/>
      <c r="AG118" s="723"/>
      <c r="AH118" s="722"/>
      <c r="AI118" s="723"/>
      <c r="AJ118" s="722"/>
      <c r="AK118" s="723"/>
      <c r="AL118" s="722"/>
      <c r="AM118" s="723"/>
      <c r="AN118" s="1220"/>
      <c r="AO118" s="1133"/>
      <c r="AP118" s="722"/>
      <c r="AQ118" s="850"/>
      <c r="AR118" s="852"/>
      <c r="AS118" s="723"/>
      <c r="AT118" s="723"/>
      <c r="AU118" s="723"/>
      <c r="AV118" s="723"/>
      <c r="AW118" s="723"/>
      <c r="AX118" s="723"/>
      <c r="AY118" s="1121" t="str">
        <f t="shared" si="57"/>
        <v/>
      </c>
      <c r="BC118" s="5"/>
      <c r="CA118" s="142" t="str">
        <f t="shared" si="101"/>
        <v/>
      </c>
      <c r="CB118" s="142" t="str">
        <f t="shared" si="102"/>
        <v/>
      </c>
      <c r="CC118" s="142" t="str">
        <f t="shared" si="100"/>
        <v/>
      </c>
      <c r="CD118" s="142" t="str">
        <f t="shared" si="83"/>
        <v/>
      </c>
      <c r="CE118" s="142" t="str">
        <f t="shared" si="84"/>
        <v/>
      </c>
      <c r="CF118" s="142" t="str">
        <f t="shared" si="85"/>
        <v/>
      </c>
      <c r="CG118" s="142" t="str">
        <f t="shared" si="103"/>
        <v/>
      </c>
      <c r="CH118" s="142" t="str">
        <f t="shared" si="104"/>
        <v/>
      </c>
      <c r="CI118" s="142" t="str">
        <f t="shared" si="86"/>
        <v/>
      </c>
      <c r="CJ118" s="142" t="str">
        <f t="shared" si="76"/>
        <v/>
      </c>
      <c r="CK118" s="142" t="str">
        <f t="shared" si="87"/>
        <v/>
      </c>
      <c r="CN118" s="34">
        <f t="shared" si="105"/>
        <v>0</v>
      </c>
      <c r="CO118" s="34">
        <f t="shared" si="105"/>
        <v>0</v>
      </c>
      <c r="CP118" s="34">
        <f t="shared" si="95"/>
        <v>0</v>
      </c>
      <c r="CQ118" s="34">
        <f t="shared" si="96"/>
        <v>0</v>
      </c>
      <c r="CR118" s="34">
        <f t="shared" si="97"/>
        <v>0</v>
      </c>
      <c r="CS118" s="34">
        <f t="shared" si="98"/>
        <v>0</v>
      </c>
      <c r="CT118" s="34">
        <f t="shared" si="106"/>
        <v>0</v>
      </c>
      <c r="CU118" s="34">
        <f t="shared" si="106"/>
        <v>0</v>
      </c>
      <c r="CV118" s="34">
        <f t="shared" si="106"/>
        <v>0</v>
      </c>
      <c r="CW118" s="34">
        <f t="shared" si="72"/>
        <v>0</v>
      </c>
      <c r="CX118" s="34">
        <f t="shared" si="91"/>
        <v>0</v>
      </c>
      <c r="CY118" s="800"/>
      <c r="DM118" s="5"/>
      <c r="DN118" s="5"/>
      <c r="DO118" s="5"/>
    </row>
    <row r="119" spans="1:119" ht="15" customHeight="1">
      <c r="A119" s="2168" t="s">
        <v>630</v>
      </c>
      <c r="B119" s="2169"/>
      <c r="C119" s="845">
        <f>SUM(D119:E119)</f>
        <v>0</v>
      </c>
      <c r="D119" s="845">
        <f>SUM(F119+H119+J119+L119+N119+P119+R119+T119+V119+X119+Z119+AB119+AD119+AF119+AH119+AJ119+AL119)</f>
        <v>0</v>
      </c>
      <c r="E119" s="1176">
        <f>SUM(G119+I119+K119+M119+O119+Q119+S119+U119+W119+Y119+AA119+AC119+AE119+AG119+AI119+AK119+AM119)</f>
        <v>0</v>
      </c>
      <c r="F119" s="908"/>
      <c r="G119" s="909"/>
      <c r="H119" s="908"/>
      <c r="I119" s="909"/>
      <c r="J119" s="908"/>
      <c r="K119" s="909"/>
      <c r="L119" s="908"/>
      <c r="M119" s="909"/>
      <c r="N119" s="908"/>
      <c r="O119" s="909"/>
      <c r="P119" s="908"/>
      <c r="Q119" s="909"/>
      <c r="R119" s="908"/>
      <c r="S119" s="909"/>
      <c r="T119" s="908"/>
      <c r="U119" s="909"/>
      <c r="V119" s="908"/>
      <c r="W119" s="909"/>
      <c r="X119" s="908"/>
      <c r="Y119" s="909"/>
      <c r="Z119" s="908"/>
      <c r="AA119" s="909"/>
      <c r="AB119" s="908"/>
      <c r="AC119" s="909"/>
      <c r="AD119" s="908"/>
      <c r="AE119" s="909"/>
      <c r="AF119" s="908"/>
      <c r="AG119" s="909"/>
      <c r="AH119" s="908"/>
      <c r="AI119" s="909"/>
      <c r="AJ119" s="908"/>
      <c r="AK119" s="909"/>
      <c r="AL119" s="908"/>
      <c r="AM119" s="909"/>
      <c r="AN119" s="1225"/>
      <c r="AO119" s="1226"/>
      <c r="AP119" s="908"/>
      <c r="AQ119" s="912"/>
      <c r="AR119" s="936"/>
      <c r="AS119" s="909"/>
      <c r="AT119" s="909"/>
      <c r="AU119" s="909"/>
      <c r="AV119" s="909"/>
      <c r="AW119" s="909"/>
      <c r="AX119" s="909"/>
      <c r="AY119" s="1121" t="str">
        <f>$CA119&amp;CB119&amp;CC119&amp;CD119&amp;CE119&amp;CF119&amp;CG119&amp;CH119&amp;CI119&amp;CJ119&amp;CK119</f>
        <v/>
      </c>
      <c r="BC119" s="5"/>
      <c r="CA119" s="142" t="str">
        <f t="shared" si="101"/>
        <v/>
      </c>
      <c r="CB119" s="142" t="str">
        <f t="shared" si="102"/>
        <v/>
      </c>
      <c r="CC119" s="142" t="str">
        <f t="shared" si="100"/>
        <v/>
      </c>
      <c r="CD119" s="142" t="str">
        <f t="shared" si="83"/>
        <v/>
      </c>
      <c r="CE119" s="142" t="str">
        <f t="shared" si="84"/>
        <v/>
      </c>
      <c r="CF119" s="142" t="str">
        <f t="shared" si="85"/>
        <v/>
      </c>
      <c r="CG119" s="142" t="str">
        <f t="shared" si="103"/>
        <v/>
      </c>
      <c r="CH119" s="142" t="str">
        <f t="shared" si="104"/>
        <v/>
      </c>
      <c r="CI119" s="142" t="str">
        <f t="shared" si="86"/>
        <v/>
      </c>
      <c r="CJ119" s="142" t="str">
        <f t="shared" si="76"/>
        <v/>
      </c>
      <c r="CK119" s="142" t="str">
        <f t="shared" si="87"/>
        <v/>
      </c>
      <c r="CN119" s="34">
        <f t="shared" si="105"/>
        <v>0</v>
      </c>
      <c r="CO119" s="34">
        <f t="shared" si="105"/>
        <v>0</v>
      </c>
      <c r="CP119" s="34">
        <f t="shared" si="95"/>
        <v>0</v>
      </c>
      <c r="CQ119" s="34">
        <f t="shared" si="96"/>
        <v>0</v>
      </c>
      <c r="CR119" s="34">
        <f t="shared" si="97"/>
        <v>0</v>
      </c>
      <c r="CS119" s="34">
        <f t="shared" si="98"/>
        <v>0</v>
      </c>
      <c r="CT119" s="34">
        <f t="shared" si="106"/>
        <v>0</v>
      </c>
      <c r="CU119" s="34">
        <f t="shared" si="106"/>
        <v>0</v>
      </c>
      <c r="CV119" s="34">
        <f t="shared" si="106"/>
        <v>0</v>
      </c>
      <c r="CW119" s="34">
        <f t="shared" si="72"/>
        <v>0</v>
      </c>
      <c r="CX119" s="34">
        <f t="shared" si="91"/>
        <v>0</v>
      </c>
      <c r="CY119" s="800"/>
      <c r="DM119" s="5"/>
      <c r="DN119" s="5"/>
      <c r="DO119" s="5"/>
    </row>
    <row r="120" spans="1:119" ht="15" customHeight="1">
      <c r="A120" s="2170" t="s">
        <v>652</v>
      </c>
      <c r="B120" s="2171"/>
      <c r="C120" s="962">
        <f>SUM(D120:E120)</f>
        <v>0</v>
      </c>
      <c r="D120" s="733">
        <f>+F120+H120+J120+L120+N120+P120+R120+T120+V120+X120+Z120+AB120+AD120+AF120+AH120+AJ120+AL120</f>
        <v>0</v>
      </c>
      <c r="E120" s="734">
        <f>+G120+I120+K120+M120+O120+Q120+S120+U120+W120+Y120+AA120+AC120+AE120+AG120+AI120+AK120+AM120</f>
        <v>0</v>
      </c>
      <c r="F120" s="722"/>
      <c r="G120" s="723"/>
      <c r="H120" s="722"/>
      <c r="I120" s="723"/>
      <c r="J120" s="722"/>
      <c r="K120" s="723"/>
      <c r="L120" s="722"/>
      <c r="M120" s="723"/>
      <c r="N120" s="722"/>
      <c r="O120" s="723"/>
      <c r="P120" s="722"/>
      <c r="Q120" s="723"/>
      <c r="R120" s="722"/>
      <c r="S120" s="723"/>
      <c r="T120" s="722"/>
      <c r="U120" s="723"/>
      <c r="V120" s="722"/>
      <c r="W120" s="723"/>
      <c r="X120" s="722"/>
      <c r="Y120" s="723"/>
      <c r="Z120" s="722"/>
      <c r="AA120" s="723"/>
      <c r="AB120" s="722"/>
      <c r="AC120" s="723"/>
      <c r="AD120" s="722"/>
      <c r="AE120" s="723"/>
      <c r="AF120" s="722"/>
      <c r="AG120" s="723"/>
      <c r="AH120" s="722"/>
      <c r="AI120" s="723"/>
      <c r="AJ120" s="722"/>
      <c r="AK120" s="723"/>
      <c r="AL120" s="722"/>
      <c r="AM120" s="723"/>
      <c r="AN120" s="1220"/>
      <c r="AO120" s="1133"/>
      <c r="AP120" s="722"/>
      <c r="AQ120" s="850"/>
      <c r="AR120" s="852"/>
      <c r="AS120" s="723"/>
      <c r="AT120" s="723"/>
      <c r="AU120" s="723"/>
      <c r="AV120" s="723"/>
      <c r="AW120" s="723"/>
      <c r="AX120" s="723"/>
      <c r="AY120" s="1121" t="str">
        <f t="shared" si="57"/>
        <v/>
      </c>
      <c r="BC120" s="5"/>
      <c r="CA120" s="142" t="str">
        <f t="shared" si="101"/>
        <v/>
      </c>
      <c r="CB120" s="142" t="str">
        <f t="shared" si="102"/>
        <v/>
      </c>
      <c r="CC120" s="142" t="str">
        <f t="shared" si="100"/>
        <v/>
      </c>
      <c r="CD120" s="142" t="str">
        <f t="shared" si="83"/>
        <v/>
      </c>
      <c r="CE120" s="142" t="str">
        <f t="shared" si="84"/>
        <v/>
      </c>
      <c r="CF120" s="142" t="str">
        <f t="shared" si="85"/>
        <v/>
      </c>
      <c r="CG120" s="142" t="str">
        <f t="shared" si="103"/>
        <v/>
      </c>
      <c r="CH120" s="142" t="str">
        <f t="shared" si="104"/>
        <v/>
      </c>
      <c r="CI120" s="142" t="str">
        <f t="shared" si="86"/>
        <v/>
      </c>
      <c r="CJ120" s="142" t="str">
        <f t="shared" si="76"/>
        <v/>
      </c>
      <c r="CK120" s="142" t="str">
        <f t="shared" si="87"/>
        <v/>
      </c>
      <c r="CN120" s="34">
        <f t="shared" si="105"/>
        <v>0</v>
      </c>
      <c r="CO120" s="34">
        <f t="shared" si="105"/>
        <v>0</v>
      </c>
      <c r="CP120" s="34">
        <f t="shared" si="95"/>
        <v>0</v>
      </c>
      <c r="CQ120" s="34">
        <f t="shared" si="96"/>
        <v>0</v>
      </c>
      <c r="CR120" s="34">
        <f t="shared" si="97"/>
        <v>0</v>
      </c>
      <c r="CS120" s="34">
        <f t="shared" si="98"/>
        <v>0</v>
      </c>
      <c r="CT120" s="34">
        <f t="shared" si="106"/>
        <v>0</v>
      </c>
      <c r="CU120" s="34">
        <f t="shared" si="106"/>
        <v>0</v>
      </c>
      <c r="CV120" s="34">
        <f t="shared" si="106"/>
        <v>0</v>
      </c>
      <c r="CW120" s="34">
        <f t="shared" si="72"/>
        <v>0</v>
      </c>
      <c r="CX120" s="34">
        <f t="shared" si="91"/>
        <v>0</v>
      </c>
      <c r="CY120" s="800"/>
      <c r="DM120" s="5"/>
      <c r="DN120" s="5"/>
      <c r="DO120" s="5"/>
    </row>
    <row r="121" spans="1:119" ht="17.149999999999999" customHeight="1">
      <c r="A121" s="1255" t="s">
        <v>653</v>
      </c>
      <c r="B121" s="915"/>
      <c r="C121" s="915"/>
      <c r="D121" s="915"/>
      <c r="E121" s="915"/>
      <c r="F121" s="915"/>
      <c r="G121" s="915"/>
      <c r="H121" s="915"/>
      <c r="I121" s="915"/>
      <c r="J121" s="915"/>
      <c r="K121" s="915"/>
      <c r="L121" s="915"/>
      <c r="M121" s="915"/>
      <c r="N121" s="915"/>
      <c r="O121" s="915"/>
      <c r="V121" s="3"/>
      <c r="AT121" s="174"/>
    </row>
    <row r="122" spans="1:119">
      <c r="A122" s="2416" t="s">
        <v>633</v>
      </c>
      <c r="B122" s="2416" t="s">
        <v>634</v>
      </c>
      <c r="C122" s="2402" t="s">
        <v>215</v>
      </c>
      <c r="D122" s="2402"/>
      <c r="E122" s="2402"/>
      <c r="F122" s="2403" t="s">
        <v>354</v>
      </c>
      <c r="G122" s="2402"/>
      <c r="H122" s="2402"/>
      <c r="I122" s="2402"/>
      <c r="J122" s="2402"/>
      <c r="K122" s="2402"/>
      <c r="L122" s="2402"/>
      <c r="M122" s="2402"/>
      <c r="N122" s="2402"/>
      <c r="O122" s="2402"/>
      <c r="P122" s="2402"/>
      <c r="Q122" s="2402"/>
      <c r="R122" s="2402"/>
      <c r="S122" s="2402"/>
      <c r="T122" s="2402"/>
      <c r="U122" s="2402"/>
      <c r="V122" s="2402"/>
      <c r="W122" s="2402"/>
      <c r="X122" s="2402"/>
      <c r="Y122" s="2402"/>
      <c r="Z122" s="2402"/>
      <c r="AA122" s="2402"/>
      <c r="AB122" s="2402"/>
      <c r="AC122" s="2402"/>
      <c r="AD122" s="2402"/>
      <c r="AE122" s="2402"/>
      <c r="AF122" s="2402"/>
      <c r="AG122" s="2402"/>
      <c r="AH122" s="2402"/>
      <c r="AI122" s="2402"/>
      <c r="AJ122" s="2402"/>
      <c r="AK122" s="2402"/>
      <c r="AL122" s="2402"/>
      <c r="AM122" s="2402"/>
      <c r="AT122" s="174"/>
    </row>
    <row r="123" spans="1:119" ht="17.25" customHeight="1">
      <c r="A123" s="2416"/>
      <c r="B123" s="2416"/>
      <c r="C123" s="2402"/>
      <c r="D123" s="2402"/>
      <c r="E123" s="2402"/>
      <c r="F123" s="2402" t="s">
        <v>356</v>
      </c>
      <c r="G123" s="2402"/>
      <c r="H123" s="2402" t="s">
        <v>357</v>
      </c>
      <c r="I123" s="2402"/>
      <c r="J123" s="1897" t="s">
        <v>264</v>
      </c>
      <c r="K123" s="1897"/>
      <c r="L123" s="1897" t="s">
        <v>13</v>
      </c>
      <c r="M123" s="1897"/>
      <c r="N123" s="1897" t="s">
        <v>14</v>
      </c>
      <c r="O123" s="1897"/>
      <c r="P123" s="1897" t="s">
        <v>15</v>
      </c>
      <c r="Q123" s="1897"/>
      <c r="R123" s="1897" t="s">
        <v>16</v>
      </c>
      <c r="S123" s="1897"/>
      <c r="T123" s="1897" t="s">
        <v>17</v>
      </c>
      <c r="U123" s="1897"/>
      <c r="V123" s="1897" t="s">
        <v>18</v>
      </c>
      <c r="W123" s="1897"/>
      <c r="X123" s="1897" t="s">
        <v>19</v>
      </c>
      <c r="Y123" s="1897"/>
      <c r="Z123" s="1897" t="s">
        <v>20</v>
      </c>
      <c r="AA123" s="1897"/>
      <c r="AB123" s="1897" t="s">
        <v>21</v>
      </c>
      <c r="AC123" s="1897"/>
      <c r="AD123" s="1897" t="s">
        <v>22</v>
      </c>
      <c r="AE123" s="1897"/>
      <c r="AF123" s="2417" t="s">
        <v>23</v>
      </c>
      <c r="AG123" s="2417"/>
      <c r="AH123" s="2417" t="s">
        <v>358</v>
      </c>
      <c r="AI123" s="2417"/>
      <c r="AJ123" s="2417" t="s">
        <v>359</v>
      </c>
      <c r="AK123" s="2417"/>
      <c r="AL123" s="2418" t="s">
        <v>360</v>
      </c>
      <c r="AM123" s="2418"/>
    </row>
    <row r="124" spans="1:119">
      <c r="A124" s="2416"/>
      <c r="B124" s="2416"/>
      <c r="C124" s="2407" t="s">
        <v>178</v>
      </c>
      <c r="D124" s="13" t="s">
        <v>42</v>
      </c>
      <c r="E124" s="689" t="s">
        <v>179</v>
      </c>
      <c r="F124" s="688" t="s">
        <v>42</v>
      </c>
      <c r="G124" s="689" t="s">
        <v>179</v>
      </c>
      <c r="H124" s="688" t="s">
        <v>42</v>
      </c>
      <c r="I124" s="689" t="s">
        <v>179</v>
      </c>
      <c r="J124" s="688" t="s">
        <v>42</v>
      </c>
      <c r="K124" s="689" t="s">
        <v>179</v>
      </c>
      <c r="L124" s="688" t="s">
        <v>42</v>
      </c>
      <c r="M124" s="689" t="s">
        <v>179</v>
      </c>
      <c r="N124" s="688" t="s">
        <v>42</v>
      </c>
      <c r="O124" s="689" t="s">
        <v>179</v>
      </c>
      <c r="P124" s="688" t="s">
        <v>42</v>
      </c>
      <c r="Q124" s="689" t="s">
        <v>179</v>
      </c>
      <c r="R124" s="688" t="s">
        <v>42</v>
      </c>
      <c r="S124" s="689" t="s">
        <v>179</v>
      </c>
      <c r="T124" s="688" t="s">
        <v>42</v>
      </c>
      <c r="U124" s="689" t="s">
        <v>179</v>
      </c>
      <c r="V124" s="688" t="s">
        <v>42</v>
      </c>
      <c r="W124" s="689" t="s">
        <v>179</v>
      </c>
      <c r="X124" s="688" t="s">
        <v>42</v>
      </c>
      <c r="Y124" s="689" t="s">
        <v>179</v>
      </c>
      <c r="Z124" s="688" t="s">
        <v>42</v>
      </c>
      <c r="AA124" s="689" t="s">
        <v>179</v>
      </c>
      <c r="AB124" s="688" t="s">
        <v>42</v>
      </c>
      <c r="AC124" s="689" t="s">
        <v>179</v>
      </c>
      <c r="AD124" s="688" t="s">
        <v>42</v>
      </c>
      <c r="AE124" s="689" t="s">
        <v>179</v>
      </c>
      <c r="AF124" s="688" t="s">
        <v>42</v>
      </c>
      <c r="AG124" s="689" t="s">
        <v>179</v>
      </c>
      <c r="AH124" s="688" t="s">
        <v>42</v>
      </c>
      <c r="AI124" s="689" t="s">
        <v>179</v>
      </c>
      <c r="AJ124" s="688" t="s">
        <v>42</v>
      </c>
      <c r="AK124" s="689" t="s">
        <v>179</v>
      </c>
      <c r="AL124" s="688" t="s">
        <v>42</v>
      </c>
      <c r="AM124" s="689" t="s">
        <v>179</v>
      </c>
    </row>
    <row r="125" spans="1:119" ht="15" customHeight="1">
      <c r="A125" s="1178" t="s">
        <v>635</v>
      </c>
      <c r="B125" s="2434" t="s">
        <v>655</v>
      </c>
      <c r="C125" s="1179">
        <v>0</v>
      </c>
      <c r="D125" s="1180">
        <f>+F125+H125+J125+L125+N125+P125+R125+T125+V125+X125+Z125+AB125+AD125+AF125+AH125+AJ125+AL125</f>
        <v>0</v>
      </c>
      <c r="E125" s="1181">
        <f>+G125+I125+K125+M125+O125+Q125+S125+U125+W125+Y125+AA125+AC125+AE125+AG125+AI125+AK125+AM125</f>
        <v>0</v>
      </c>
      <c r="F125" s="1182"/>
      <c r="G125" s="1183"/>
      <c r="H125" s="1182"/>
      <c r="I125" s="1183"/>
      <c r="J125" s="1182"/>
      <c r="K125" s="1256"/>
      <c r="L125" s="1182"/>
      <c r="M125" s="1256"/>
      <c r="N125" s="1182"/>
      <c r="O125" s="1256"/>
      <c r="P125" s="1182"/>
      <c r="Q125" s="1183"/>
      <c r="R125" s="1182"/>
      <c r="S125" s="1183"/>
      <c r="T125" s="1182"/>
      <c r="U125" s="1256"/>
      <c r="V125" s="1182"/>
      <c r="W125" s="1256"/>
      <c r="X125" s="1182"/>
      <c r="Y125" s="1256"/>
      <c r="Z125" s="1182"/>
      <c r="AA125" s="1183"/>
      <c r="AB125" s="1182"/>
      <c r="AC125" s="1183"/>
      <c r="AD125" s="1182"/>
      <c r="AE125" s="1256"/>
      <c r="AF125" s="1182"/>
      <c r="AG125" s="1256"/>
      <c r="AH125" s="1182"/>
      <c r="AI125" s="1256"/>
      <c r="AJ125" s="1182"/>
      <c r="AK125" s="1256"/>
      <c r="AL125" s="1182"/>
      <c r="AM125" s="1184"/>
      <c r="AN125" s="174"/>
    </row>
    <row r="126" spans="1:119" ht="15" customHeight="1">
      <c r="A126" s="1185" t="s">
        <v>636</v>
      </c>
      <c r="B126" s="2434" t="s">
        <v>655</v>
      </c>
      <c r="C126" s="1186">
        <v>0</v>
      </c>
      <c r="D126" s="1187">
        <f>+F126+H126+J126+L126+N126+P126+R126+T126+V126+X126+Z126+AB126+AD126+AF126+AH126+AJ126+AL126</f>
        <v>0</v>
      </c>
      <c r="E126" s="1188">
        <f>+G126+I126+K126+M126+O126+Q126+S126+U126+W126+Y126+AA126+AC126+AE126+AG126+AI126+AK126+AM126</f>
        <v>0</v>
      </c>
      <c r="F126" s="1189"/>
      <c r="G126" s="1190"/>
      <c r="H126" s="1189"/>
      <c r="I126" s="1190"/>
      <c r="J126" s="1189"/>
      <c r="K126" s="1257"/>
      <c r="L126" s="1189"/>
      <c r="M126" s="1257"/>
      <c r="N126" s="1189"/>
      <c r="O126" s="1257"/>
      <c r="P126" s="1189"/>
      <c r="Q126" s="1190"/>
      <c r="R126" s="1189"/>
      <c r="S126" s="1190"/>
      <c r="T126" s="1189"/>
      <c r="U126" s="1257"/>
      <c r="V126" s="1189"/>
      <c r="W126" s="1257"/>
      <c r="X126" s="1189"/>
      <c r="Y126" s="1257"/>
      <c r="Z126" s="1189"/>
      <c r="AA126" s="1190"/>
      <c r="AB126" s="1189"/>
      <c r="AC126" s="1190"/>
      <c r="AD126" s="1189"/>
      <c r="AE126" s="1257"/>
      <c r="AF126" s="1189"/>
      <c r="AG126" s="1257"/>
      <c r="AH126" s="1189"/>
      <c r="AI126" s="1257"/>
      <c r="AJ126" s="1189"/>
      <c r="AK126" s="1257"/>
      <c r="AL126" s="1189"/>
      <c r="AM126" s="1191"/>
      <c r="AN126" s="174"/>
    </row>
    <row r="132" spans="1:234" s="290" customForma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c r="EF132" s="346"/>
      <c r="EG132" s="346"/>
      <c r="EH132" s="346"/>
      <c r="EI132" s="346"/>
      <c r="EJ132" s="346"/>
      <c r="EK132" s="346"/>
      <c r="EL132" s="346"/>
      <c r="EM132" s="346"/>
      <c r="EN132" s="346"/>
      <c r="EO132" s="346"/>
      <c r="EP132" s="346"/>
      <c r="EQ132" s="346"/>
      <c r="ER132" s="346"/>
      <c r="ES132" s="346"/>
      <c r="ET132" s="346"/>
      <c r="EU132" s="346"/>
      <c r="EV132" s="346"/>
      <c r="EW132" s="346"/>
      <c r="EX132" s="346"/>
      <c r="EY132" s="346"/>
      <c r="EZ132" s="346"/>
      <c r="FA132" s="346"/>
      <c r="FB132" s="346"/>
      <c r="FC132" s="346"/>
      <c r="FD132" s="346"/>
      <c r="FE132" s="346"/>
      <c r="FF132" s="346"/>
      <c r="FG132" s="346"/>
      <c r="FH132" s="346"/>
      <c r="FI132" s="346"/>
      <c r="FJ132" s="346"/>
      <c r="FK132" s="346"/>
      <c r="FL132" s="346"/>
      <c r="FM132" s="346"/>
      <c r="FN132" s="346"/>
      <c r="FO132" s="346"/>
      <c r="FP132" s="346"/>
      <c r="FQ132" s="346"/>
      <c r="FR132" s="346"/>
      <c r="FS132" s="346"/>
      <c r="FT132" s="346"/>
      <c r="FU132" s="346"/>
      <c r="FV132" s="346"/>
      <c r="FW132" s="346"/>
      <c r="FX132" s="346"/>
      <c r="FY132" s="346"/>
      <c r="FZ132" s="346"/>
      <c r="GA132" s="346"/>
      <c r="GB132" s="346"/>
      <c r="GC132" s="346"/>
      <c r="GD132" s="346"/>
      <c r="GE132" s="346"/>
      <c r="GF132" s="346"/>
      <c r="GG132" s="346"/>
      <c r="GH132" s="346"/>
      <c r="GI132" s="346"/>
      <c r="GJ132" s="346"/>
      <c r="GK132" s="346"/>
      <c r="GL132" s="346"/>
      <c r="GM132" s="346"/>
      <c r="GN132" s="346"/>
      <c r="GO132" s="346"/>
      <c r="GP132" s="346"/>
      <c r="GQ132" s="346"/>
      <c r="GR132" s="346"/>
      <c r="GS132" s="346"/>
      <c r="GT132" s="346"/>
      <c r="GU132" s="346"/>
      <c r="GV132" s="346"/>
      <c r="GW132" s="346"/>
      <c r="GX132" s="346"/>
      <c r="GY132" s="346"/>
      <c r="GZ132" s="346"/>
      <c r="HA132" s="346"/>
      <c r="HB132" s="346"/>
      <c r="HC132" s="346"/>
      <c r="HD132" s="346"/>
      <c r="HE132" s="346"/>
      <c r="HF132" s="346"/>
      <c r="HG132" s="346"/>
      <c r="HH132" s="346"/>
      <c r="HI132" s="346"/>
      <c r="HJ132" s="346"/>
      <c r="HK132" s="346"/>
      <c r="HL132" s="346"/>
      <c r="HM132" s="346"/>
      <c r="HN132" s="346"/>
      <c r="HO132" s="346"/>
      <c r="HP132" s="346"/>
      <c r="HQ132" s="346"/>
      <c r="HR132" s="346"/>
      <c r="HS132" s="346"/>
      <c r="HT132" s="346"/>
      <c r="HU132" s="346"/>
      <c r="HV132" s="346"/>
      <c r="HW132" s="346"/>
      <c r="HX132" s="346"/>
      <c r="HY132" s="346"/>
      <c r="HZ132" s="346"/>
    </row>
    <row r="133" spans="1:234" s="290" customForma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c r="HR133" s="346"/>
      <c r="HS133" s="346"/>
      <c r="HT133" s="346"/>
      <c r="HU133" s="346"/>
      <c r="HV133" s="346"/>
      <c r="HW133" s="346"/>
      <c r="HX133" s="346"/>
      <c r="HY133" s="346"/>
      <c r="HZ133" s="346"/>
    </row>
    <row r="143" spans="1:234" ht="19.5" customHeight="1"/>
    <row r="145" spans="1:2" ht="15" customHeight="1"/>
    <row r="146" spans="1:2" ht="15" hidden="1" customHeight="1">
      <c r="A146" s="668">
        <f>SUM(C13:C58,C63:C64,C69,C75:C120,C125:C126)</f>
        <v>0</v>
      </c>
      <c r="B146" s="290" t="s">
        <v>142</v>
      </c>
    </row>
    <row r="147" spans="1:2" ht="15" hidden="1" customHeight="1">
      <c r="A147" s="668">
        <f>SUM(CN13:CX120)</f>
        <v>0</v>
      </c>
      <c r="B147" s="290" t="s">
        <v>143</v>
      </c>
    </row>
    <row r="148" spans="1:2" ht="15" customHeight="1"/>
    <row r="149" spans="1:2" ht="15" customHeight="1"/>
    <row r="150" spans="1:2" ht="15" customHeight="1"/>
    <row r="151" spans="1:2" ht="15" customHeight="1"/>
    <row r="152" spans="1:2" ht="15" customHeight="1"/>
    <row r="153" spans="1:2" ht="15" customHeight="1"/>
    <row r="154" spans="1:2" ht="15" customHeight="1"/>
    <row r="155" spans="1:2" ht="15" customHeight="1"/>
  </sheetData>
  <mergeCells count="184">
    <mergeCell ref="A7:U7"/>
    <mergeCell ref="A9:G9"/>
    <mergeCell ref="H9:I9"/>
    <mergeCell ref="J9:K9"/>
    <mergeCell ref="L9:M9"/>
    <mergeCell ref="N9:O9"/>
    <mergeCell ref="P9:Q9"/>
    <mergeCell ref="R9:S9"/>
    <mergeCell ref="T9:U9"/>
    <mergeCell ref="AH9:AI9"/>
    <mergeCell ref="AJ9:AK9"/>
    <mergeCell ref="AL9:AM9"/>
    <mergeCell ref="A10:B12"/>
    <mergeCell ref="C10:E11"/>
    <mergeCell ref="F10:AM10"/>
    <mergeCell ref="V11:W11"/>
    <mergeCell ref="X11:Y11"/>
    <mergeCell ref="Z11:AA11"/>
    <mergeCell ref="AB11:AC11"/>
    <mergeCell ref="V9:W9"/>
    <mergeCell ref="X9:Y9"/>
    <mergeCell ref="Z9:AA9"/>
    <mergeCell ref="AB9:AC9"/>
    <mergeCell ref="AD9:AE9"/>
    <mergeCell ref="AF9:AG9"/>
    <mergeCell ref="AV10:AV12"/>
    <mergeCell ref="AW10:AX11"/>
    <mergeCell ref="F11:G11"/>
    <mergeCell ref="H11:I11"/>
    <mergeCell ref="J11:K11"/>
    <mergeCell ref="L11:M11"/>
    <mergeCell ref="N11:O11"/>
    <mergeCell ref="P11:Q11"/>
    <mergeCell ref="R11:S11"/>
    <mergeCell ref="T11:U11"/>
    <mergeCell ref="AN10:AN12"/>
    <mergeCell ref="AO10:AO12"/>
    <mergeCell ref="AP10:AQ11"/>
    <mergeCell ref="AR10:AS11"/>
    <mergeCell ref="AT10:AT12"/>
    <mergeCell ref="AU10:AU12"/>
    <mergeCell ref="CU11:CU12"/>
    <mergeCell ref="CV11:CV12"/>
    <mergeCell ref="CW11:CX11"/>
    <mergeCell ref="DT11:DT12"/>
    <mergeCell ref="A13:B13"/>
    <mergeCell ref="A14:B14"/>
    <mergeCell ref="CJ11:CK11"/>
    <mergeCell ref="CN11:CN12"/>
    <mergeCell ref="CO11:CO12"/>
    <mergeCell ref="CP11:CQ11"/>
    <mergeCell ref="CR11:CS11"/>
    <mergeCell ref="CT11:CT12"/>
    <mergeCell ref="CB11:CB12"/>
    <mergeCell ref="CC11:CD11"/>
    <mergeCell ref="CE11:CF11"/>
    <mergeCell ref="CG11:CG12"/>
    <mergeCell ref="CH11:CH12"/>
    <mergeCell ref="CI11:CI12"/>
    <mergeCell ref="AD11:AE11"/>
    <mergeCell ref="AF11:AG11"/>
    <mergeCell ref="AH11:AI11"/>
    <mergeCell ref="AJ11:AK11"/>
    <mergeCell ref="AL11:AM11"/>
    <mergeCell ref="CA11:CA12"/>
    <mergeCell ref="A25:A29"/>
    <mergeCell ref="A30:A34"/>
    <mergeCell ref="A35:A38"/>
    <mergeCell ref="A39:A43"/>
    <mergeCell ref="A44:A46"/>
    <mergeCell ref="A47:B47"/>
    <mergeCell ref="A15:A16"/>
    <mergeCell ref="A17:A18"/>
    <mergeCell ref="A19:A20"/>
    <mergeCell ref="A21:B21"/>
    <mergeCell ref="A22:A23"/>
    <mergeCell ref="A24:B24"/>
    <mergeCell ref="R61:S61"/>
    <mergeCell ref="T61:U61"/>
    <mergeCell ref="A49:B49"/>
    <mergeCell ref="A50:B50"/>
    <mergeCell ref="A51:B51"/>
    <mergeCell ref="A52:A56"/>
    <mergeCell ref="A58:B58"/>
    <mergeCell ref="A60:A62"/>
    <mergeCell ref="B60:B62"/>
    <mergeCell ref="AH61:AI61"/>
    <mergeCell ref="AJ61:AK61"/>
    <mergeCell ref="AL61:AM61"/>
    <mergeCell ref="A66:B68"/>
    <mergeCell ref="C66:E67"/>
    <mergeCell ref="F66:O66"/>
    <mergeCell ref="P66:Q67"/>
    <mergeCell ref="F67:G67"/>
    <mergeCell ref="H67:I67"/>
    <mergeCell ref="J67:K67"/>
    <mergeCell ref="V61:W61"/>
    <mergeCell ref="X61:Y61"/>
    <mergeCell ref="Z61:AA61"/>
    <mergeCell ref="AB61:AC61"/>
    <mergeCell ref="AD61:AE61"/>
    <mergeCell ref="AF61:AG61"/>
    <mergeCell ref="C60:E61"/>
    <mergeCell ref="F60:AM60"/>
    <mergeCell ref="F61:G61"/>
    <mergeCell ref="H61:I61"/>
    <mergeCell ref="J61:K61"/>
    <mergeCell ref="L61:M61"/>
    <mergeCell ref="N61:O61"/>
    <mergeCell ref="P61:Q61"/>
    <mergeCell ref="AU72:AU74"/>
    <mergeCell ref="L67:M67"/>
    <mergeCell ref="N67:O67"/>
    <mergeCell ref="A69:B69"/>
    <mergeCell ref="A71:O71"/>
    <mergeCell ref="A72:B74"/>
    <mergeCell ref="C72:E73"/>
    <mergeCell ref="F72:AM72"/>
    <mergeCell ref="V73:W73"/>
    <mergeCell ref="X73:Y73"/>
    <mergeCell ref="Z73:AA73"/>
    <mergeCell ref="N73:O73"/>
    <mergeCell ref="P73:Q73"/>
    <mergeCell ref="R73:S73"/>
    <mergeCell ref="T73:U73"/>
    <mergeCell ref="AN72:AN74"/>
    <mergeCell ref="AO72:AO74"/>
    <mergeCell ref="AP72:AQ73"/>
    <mergeCell ref="AR72:AS73"/>
    <mergeCell ref="AT72:AT74"/>
    <mergeCell ref="A84:A85"/>
    <mergeCell ref="A86:B86"/>
    <mergeCell ref="A87:A91"/>
    <mergeCell ref="A92:A96"/>
    <mergeCell ref="A97:A100"/>
    <mergeCell ref="A101:A105"/>
    <mergeCell ref="DT73:DT74"/>
    <mergeCell ref="A75:B75"/>
    <mergeCell ref="A76:B76"/>
    <mergeCell ref="A77:A78"/>
    <mergeCell ref="A79:A80"/>
    <mergeCell ref="A81:A82"/>
    <mergeCell ref="AB73:AC73"/>
    <mergeCell ref="AD73:AE73"/>
    <mergeCell ref="AF73:AG73"/>
    <mergeCell ref="AH73:AI73"/>
    <mergeCell ref="AJ73:AK73"/>
    <mergeCell ref="AL73:AM73"/>
    <mergeCell ref="AV72:AV74"/>
    <mergeCell ref="AW72:AX73"/>
    <mergeCell ref="F73:G73"/>
    <mergeCell ref="H73:I73"/>
    <mergeCell ref="J73:K73"/>
    <mergeCell ref="L73:M73"/>
    <mergeCell ref="A114:A118"/>
    <mergeCell ref="A119:B119"/>
    <mergeCell ref="A120:B120"/>
    <mergeCell ref="A122:A124"/>
    <mergeCell ref="B122:B124"/>
    <mergeCell ref="C122:E123"/>
    <mergeCell ref="A106:A108"/>
    <mergeCell ref="A109:B109"/>
    <mergeCell ref="A110:B110"/>
    <mergeCell ref="A111:B111"/>
    <mergeCell ref="A112:B112"/>
    <mergeCell ref="A113:B113"/>
    <mergeCell ref="AJ123:AK123"/>
    <mergeCell ref="AL123:AM123"/>
    <mergeCell ref="X123:Y123"/>
    <mergeCell ref="Z123:AA123"/>
    <mergeCell ref="AB123:AC123"/>
    <mergeCell ref="AD123:AE123"/>
    <mergeCell ref="AF123:AG123"/>
    <mergeCell ref="AH123:AI123"/>
    <mergeCell ref="F122:AM122"/>
    <mergeCell ref="F123:G123"/>
    <mergeCell ref="H123:I123"/>
    <mergeCell ref="J123:K123"/>
    <mergeCell ref="L123:M123"/>
    <mergeCell ref="N123:O123"/>
    <mergeCell ref="P123:Q123"/>
    <mergeCell ref="R123:S123"/>
    <mergeCell ref="T123:U123"/>
    <mergeCell ref="V123:W123"/>
  </mergeCells>
  <dataValidations count="4">
    <dataValidation allowBlank="1" showInputMessage="1" showErrorMessage="1" errorTitle=" Error de ingreso" error="Debe ingresar sólo números enteros positivos." sqref="U69:U70" xr:uid="{8CC75E5B-B838-4019-997A-075D1D03CEB2}"/>
    <dataValidation type="whole" operator="greaterThanOrEqual" allowBlank="1" showInputMessage="1" showErrorMessage="1" sqref="F125:AM126 F13:AX58 F63:AM64 F69:Q70 F75:AX120" xr:uid="{F782C0F6-E5D4-460A-840A-9A61677CEEFB}">
      <formula1>0</formula1>
    </dataValidation>
    <dataValidation allowBlank="1" showInputMessage="1" showErrorMessage="1" errorTitle="Error de ingreso" error="Debe ingresar sólo números enteros positivos." sqref="A2:A5" xr:uid="{3AADA57F-9251-481C-9889-21284AAD9132}"/>
    <dataValidation type="whole" allowBlank="1" showInputMessage="1" showErrorMessage="1" sqref="A13:B13 C15:C16 C21:C58 C63:C64 A69:B69 A75:B75 C83:C85 C87:C120 B125:B126 AN72:AO74 AV72:AV74 AN10:AO12 AV10:AV12" xr:uid="{D760D990-87F9-4775-A0A0-C8553735A2CB}">
      <formula1>0</formula1>
      <formula2>100000000000000</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99C1-6DAB-4197-9519-768582D42087}">
  <sheetPr>
    <tabColor rgb="FFFFFF00"/>
  </sheetPr>
  <dimension ref="A1:BT50"/>
  <sheetViews>
    <sheetView zoomScaleNormal="100" workbookViewId="0"/>
  </sheetViews>
  <sheetFormatPr baseColWidth="10" defaultColWidth="11.453125" defaultRowHeight="10"/>
  <cols>
    <col min="1" max="1" width="44.54296875" style="5" customWidth="1"/>
    <col min="2" max="2" width="19.6328125" style="5" customWidth="1"/>
    <col min="3" max="12" width="11.54296875" style="5" customWidth="1"/>
    <col min="13" max="52" width="11.453125" style="5"/>
    <col min="53" max="72" width="11.453125" style="5" hidden="1" customWidth="1"/>
    <col min="73" max="16384" width="11.453125" style="5"/>
  </cols>
  <sheetData>
    <row r="1" spans="1:72" s="3" customFormat="1" ht="13.5" customHeight="1">
      <c r="A1" s="1" t="s">
        <v>0</v>
      </c>
    </row>
    <row r="2" spans="1:72" s="3" customFormat="1" ht="13.5" customHeight="1">
      <c r="A2" s="1" t="s">
        <v>449</v>
      </c>
    </row>
    <row r="3" spans="1:72" s="3" customFormat="1" ht="13.5" customHeight="1">
      <c r="A3" s="1" t="s">
        <v>450</v>
      </c>
      <c r="D3" s="672"/>
    </row>
    <row r="4" spans="1:72" s="3" customFormat="1" ht="13.5" customHeight="1">
      <c r="A4" s="1" t="s">
        <v>451</v>
      </c>
    </row>
    <row r="5" spans="1:72" s="3" customFormat="1" ht="13.5" customHeight="1">
      <c r="A5" s="1" t="s">
        <v>452</v>
      </c>
    </row>
    <row r="6" spans="1:72" s="3" customFormat="1" ht="15" customHeight="1">
      <c r="A6" s="673"/>
    </row>
    <row r="7" spans="1:72" s="7" customFormat="1" ht="21.9" customHeight="1">
      <c r="A7" s="2273" t="s">
        <v>657</v>
      </c>
      <c r="B7" s="2273"/>
      <c r="C7" s="2273"/>
      <c r="D7" s="2273"/>
      <c r="E7" s="2273"/>
      <c r="F7" s="2273"/>
      <c r="G7" s="2273"/>
      <c r="H7" s="2273"/>
      <c r="I7" s="2273"/>
      <c r="J7" s="2273"/>
      <c r="K7" s="1266"/>
      <c r="L7" s="1267"/>
      <c r="M7" s="5"/>
    </row>
    <row r="8" spans="1:72" ht="17.149999999999999" customHeight="1">
      <c r="A8" s="2274" t="s">
        <v>658</v>
      </c>
      <c r="B8" s="2274"/>
      <c r="C8" s="2274"/>
      <c r="D8" s="2274"/>
      <c r="E8" s="2274"/>
      <c r="F8" s="2274"/>
      <c r="G8" s="2274"/>
      <c r="H8" s="2274"/>
      <c r="I8" s="2274"/>
      <c r="J8" s="2274"/>
    </row>
    <row r="9" spans="1:72" ht="20.149999999999999" customHeight="1">
      <c r="A9" s="1268" t="s">
        <v>659</v>
      </c>
      <c r="B9" s="1115" t="s">
        <v>5</v>
      </c>
      <c r="C9" s="1031" t="s">
        <v>660</v>
      </c>
      <c r="D9" s="11" t="s">
        <v>661</v>
      </c>
      <c r="E9" s="11" t="s">
        <v>662</v>
      </c>
      <c r="F9" s="11" t="s">
        <v>663</v>
      </c>
      <c r="G9" s="11" t="s">
        <v>664</v>
      </c>
      <c r="H9" s="11" t="s">
        <v>665</v>
      </c>
      <c r="I9" s="11" t="s">
        <v>666</v>
      </c>
      <c r="J9" s="689" t="s">
        <v>667</v>
      </c>
    </row>
    <row r="10" spans="1:72">
      <c r="A10" s="1292" t="s">
        <v>671</v>
      </c>
      <c r="B10" s="1269">
        <f>SUM(C10:J10)</f>
        <v>0</v>
      </c>
      <c r="C10" s="23"/>
      <c r="D10" s="117"/>
      <c r="E10" s="117"/>
      <c r="F10" s="117"/>
      <c r="G10" s="117"/>
      <c r="H10" s="117"/>
      <c r="I10" s="117"/>
      <c r="J10" s="30"/>
      <c r="K10" s="1270" t="str">
        <f>BA10&amp;BB10&amp;BC10&amp;BD10&amp;BE10&amp;BF10&amp;BG10&amp;BH10</f>
        <v/>
      </c>
    </row>
    <row r="11" spans="1:72" ht="20">
      <c r="A11" s="1293" t="s">
        <v>672</v>
      </c>
      <c r="B11" s="1271">
        <f>SUM(C11:J11)</f>
        <v>0</v>
      </c>
      <c r="C11" s="54"/>
      <c r="D11" s="163"/>
      <c r="E11" s="163"/>
      <c r="F11" s="163"/>
      <c r="G11" s="163"/>
      <c r="H11" s="163"/>
      <c r="I11" s="163"/>
      <c r="J11" s="60"/>
      <c r="K11" s="1270" t="str">
        <f>BA11&amp;BB11&amp;BC11&amp;BD11&amp;BE11&amp;BF11&amp;BG11&amp;BH11</f>
        <v/>
      </c>
      <c r="BA11" s="142" t="str">
        <f>IF(C10&lt;SUM(C11), "* El Número de Familias evaluadas en el sector 1 no puede ser mayor al N° de Familias inscritas del mismo sector.","")</f>
        <v/>
      </c>
      <c r="BB11" s="142" t="str">
        <f>IF(D10&lt;SUM(D11),"* El Número de Familias evalauadas en el sector 2 no puede ser mayor al N° de Familias inscritas del mismo sector.","")</f>
        <v/>
      </c>
      <c r="BC11" s="142" t="str">
        <f>IF(E10&lt;SUM(E11), "* El Número de Familias evalauadas en el sector 3 no puede ser mayor al N° de Familias inscritas del mismo sector.","")</f>
        <v/>
      </c>
      <c r="BD11" s="142" t="str">
        <f>IF(F10&lt;SUM(F11), "* El Número de Familias evalauadas en el sector 4 no puede ser mayor al N° de Familias inscritas del mismo sector.","")</f>
        <v/>
      </c>
      <c r="BE11" s="142" t="str">
        <f>IF(G10&lt;SUM(G11), "* El Número de Familias evalauadas en el sector 5 no puede ser mayor al N° de Familias inscritas del mismo sector.","")</f>
        <v/>
      </c>
      <c r="BF11" s="142" t="str">
        <f>IF(H10&lt;SUM(H11), "* El Número de Familias evalauadas en el sector 6 no puede ser mayor al N° de Familias inscritas del mismo sector.","")</f>
        <v/>
      </c>
      <c r="BG11" s="142" t="str">
        <f>IF(I10&lt;SUM(I11), "* El Número de Familias evalauadas en el sector 7 no puede ser mayor al N° de Familias inscritas del mismo sector.","")</f>
        <v/>
      </c>
      <c r="BH11" s="142" t="str">
        <f>IF(J10&lt;SUM(J11), "* El Número de Familias evalauadas en el sector 8 no puede ser mayor al N° de Familias inscritas del mismo sector.","")</f>
        <v/>
      </c>
      <c r="BM11" s="34">
        <f>IF(C$10 &lt;(C$11), 1,0)</f>
        <v>0</v>
      </c>
      <c r="BN11" s="34">
        <f t="shared" ref="BN11:BT11" si="0">IF(D$10 &lt;(D$11), 1,0)</f>
        <v>0</v>
      </c>
      <c r="BO11" s="34">
        <f t="shared" si="0"/>
        <v>0</v>
      </c>
      <c r="BP11" s="34">
        <f t="shared" si="0"/>
        <v>0</v>
      </c>
      <c r="BQ11" s="34">
        <f t="shared" si="0"/>
        <v>0</v>
      </c>
      <c r="BR11" s="34">
        <f t="shared" si="0"/>
        <v>0</v>
      </c>
      <c r="BS11" s="34">
        <f t="shared" si="0"/>
        <v>0</v>
      </c>
      <c r="BT11" s="34">
        <f t="shared" si="0"/>
        <v>0</v>
      </c>
    </row>
    <row r="12" spans="1:72" ht="15" customHeight="1">
      <c r="A12" s="1294" t="s">
        <v>673</v>
      </c>
      <c r="B12" s="1271">
        <f>SUM(C12:J12)</f>
        <v>0</v>
      </c>
      <c r="C12" s="54"/>
      <c r="D12" s="163"/>
      <c r="E12" s="163"/>
      <c r="F12" s="163"/>
      <c r="G12" s="163"/>
      <c r="H12" s="163"/>
      <c r="I12" s="163"/>
      <c r="J12" s="60"/>
      <c r="K12" s="1270"/>
    </row>
    <row r="13" spans="1:72" ht="15" customHeight="1">
      <c r="A13" s="1294" t="s">
        <v>674</v>
      </c>
      <c r="B13" s="1271">
        <f>SUM(C13:J13)</f>
        <v>0</v>
      </c>
      <c r="C13" s="54"/>
      <c r="D13" s="163"/>
      <c r="E13" s="163"/>
      <c r="F13" s="163"/>
      <c r="G13" s="163"/>
      <c r="H13" s="163"/>
      <c r="I13" s="163"/>
      <c r="J13" s="60"/>
      <c r="K13" s="1270"/>
    </row>
    <row r="14" spans="1:72" ht="15" customHeight="1">
      <c r="A14" s="1295" t="s">
        <v>675</v>
      </c>
      <c r="B14" s="1272">
        <f>SUM(C14:J14)</f>
        <v>0</v>
      </c>
      <c r="C14" s="79"/>
      <c r="D14" s="186"/>
      <c r="E14" s="186"/>
      <c r="F14" s="186"/>
      <c r="G14" s="186"/>
      <c r="H14" s="186"/>
      <c r="I14" s="186"/>
      <c r="J14" s="84"/>
      <c r="K14" s="1270"/>
    </row>
    <row r="15" spans="1:72" ht="17.149999999999999" customHeight="1">
      <c r="A15" s="2275" t="s">
        <v>668</v>
      </c>
      <c r="B15" s="2275"/>
      <c r="C15" s="2275"/>
      <c r="D15" s="2275"/>
      <c r="E15" s="2275"/>
      <c r="F15" s="2275"/>
      <c r="G15" s="2275"/>
      <c r="H15" s="2275"/>
      <c r="I15" s="2275"/>
      <c r="J15" s="2275"/>
      <c r="K15" s="1270"/>
    </row>
    <row r="16" spans="1:72" ht="15.75" customHeight="1">
      <c r="A16" s="1268" t="s">
        <v>659</v>
      </c>
      <c r="B16" s="1115" t="s">
        <v>5</v>
      </c>
      <c r="C16" s="1031" t="s">
        <v>660</v>
      </c>
      <c r="D16" s="11" t="s">
        <v>661</v>
      </c>
      <c r="E16" s="11" t="s">
        <v>662</v>
      </c>
      <c r="F16" s="11" t="s">
        <v>663</v>
      </c>
      <c r="G16" s="11" t="s">
        <v>664</v>
      </c>
      <c r="H16" s="11" t="s">
        <v>665</v>
      </c>
      <c r="I16" s="11" t="s">
        <v>666</v>
      </c>
      <c r="J16" s="1030" t="s">
        <v>667</v>
      </c>
      <c r="K16" s="1270"/>
    </row>
    <row r="17" spans="1:72" ht="15" customHeight="1">
      <c r="A17" s="1292" t="s">
        <v>671</v>
      </c>
      <c r="B17" s="1269">
        <f>SUM(C17:J17)</f>
        <v>0</v>
      </c>
      <c r="C17" s="23"/>
      <c r="D17" s="117"/>
      <c r="E17" s="117"/>
      <c r="F17" s="117"/>
      <c r="G17" s="117"/>
      <c r="H17" s="117"/>
      <c r="I17" s="117"/>
      <c r="J17" s="30"/>
      <c r="K17" s="1270" t="str">
        <f t="shared" ref="K17" si="1">BA17&amp;BB17&amp;BC17&amp;BD17&amp;BE17&amp;BF17&amp;BG17&amp;BH17</f>
        <v/>
      </c>
    </row>
    <row r="18" spans="1:72" ht="20">
      <c r="A18" s="1293" t="s">
        <v>672</v>
      </c>
      <c r="B18" s="1271">
        <f>SUM(C18:J18)</f>
        <v>0</v>
      </c>
      <c r="C18" s="54"/>
      <c r="D18" s="163"/>
      <c r="E18" s="163"/>
      <c r="F18" s="163"/>
      <c r="G18" s="163"/>
      <c r="H18" s="163"/>
      <c r="I18" s="163"/>
      <c r="J18" s="58"/>
      <c r="K18" s="1270" t="str">
        <f>BA18&amp;BB18&amp;BC18&amp;BD18&amp;BE18&amp;BF18&amp;BG18&amp;BH18</f>
        <v/>
      </c>
      <c r="BA18" s="142" t="str">
        <f>IF(C17&lt;SUM(C18), " *El Número de Familias evalauadas en el sector 1 no puede ser mayor al N° de Familias inscritas del mismo sector.","")</f>
        <v/>
      </c>
      <c r="BB18" s="142" t="str">
        <f>IF(D17&lt;SUM(D18), " *El Número de Familias evalauadas en el sector 2 no puede ser mayor al N° de Familias inscritas del mismo sector.","")</f>
        <v/>
      </c>
      <c r="BC18" s="142" t="str">
        <f>IF(E17&lt;SUM(E18), " *El Número de Familias evalauadas en el sector 3 no puede ser mayor al N° de Familias inscritas del mismo sector.","")</f>
        <v/>
      </c>
      <c r="BD18" s="142" t="str">
        <f>IF(F17&lt;SUM(F18), " *El Número de Familias evalauadas en el sector 4 no puede ser mayor al N° de Familias inscritas del mismo sector.","")</f>
        <v/>
      </c>
      <c r="BE18" s="142" t="str">
        <f>IF(G17&lt;SUM(G18), " *El Número de Familias evalauadas en el sector 5 no puede ser mayor al N° de Familias inscritas del mismo sector.","")</f>
        <v/>
      </c>
      <c r="BF18" s="142" t="str">
        <f>IF(H17&lt;SUM(H18), " *El Número de Familias evalauadas en el sector 6 no puede ser mayor al N° de Familias inscritas del mismo sector.","")</f>
        <v/>
      </c>
      <c r="BG18" s="142" t="str">
        <f>IF(I17&lt;SUM(I18), " *El Número de Familias evalauadas en el sector 7 no puede ser mayor al N° de Familias inscritas del mismo sector.","")</f>
        <v/>
      </c>
      <c r="BH18" s="142" t="str">
        <f>IF(J17&lt;SUM(J18), " *El Número de Familias evalauadas en el sector 8 no puede ser mayor al N° de Familias inscritas del mismo sector.","")</f>
        <v/>
      </c>
      <c r="BM18" s="34">
        <f>IF(C$17 &lt;(C$18), 1,0)</f>
        <v>0</v>
      </c>
      <c r="BN18" s="34">
        <f t="shared" ref="BN18:BS18" si="2">IF(D17 &lt;(D18), 1,0)</f>
        <v>0</v>
      </c>
      <c r="BO18" s="34">
        <f t="shared" si="2"/>
        <v>0</v>
      </c>
      <c r="BP18" s="34">
        <f t="shared" si="2"/>
        <v>0</v>
      </c>
      <c r="BQ18" s="34">
        <f t="shared" si="2"/>
        <v>0</v>
      </c>
      <c r="BR18" s="34">
        <f t="shared" si="2"/>
        <v>0</v>
      </c>
      <c r="BS18" s="34">
        <f t="shared" si="2"/>
        <v>0</v>
      </c>
      <c r="BT18" s="34">
        <f>IF(J17 &lt;(J18), 1,0)</f>
        <v>0</v>
      </c>
    </row>
    <row r="19" spans="1:72" ht="15" customHeight="1">
      <c r="A19" s="1294" t="s">
        <v>673</v>
      </c>
      <c r="B19" s="1271">
        <f>SUM(C19:J19)</f>
        <v>0</v>
      </c>
      <c r="C19" s="54"/>
      <c r="D19" s="163"/>
      <c r="E19" s="163"/>
      <c r="F19" s="163"/>
      <c r="G19" s="163"/>
      <c r="H19" s="163"/>
      <c r="I19" s="163"/>
      <c r="J19" s="58"/>
      <c r="K19" s="1270"/>
    </row>
    <row r="20" spans="1:72" ht="15" customHeight="1">
      <c r="A20" s="1294" t="s">
        <v>674</v>
      </c>
      <c r="B20" s="1271">
        <f>SUM(C20:J20)</f>
        <v>0</v>
      </c>
      <c r="C20" s="54"/>
      <c r="D20" s="163"/>
      <c r="E20" s="163"/>
      <c r="F20" s="163"/>
      <c r="G20" s="163"/>
      <c r="H20" s="163"/>
      <c r="I20" s="163"/>
      <c r="J20" s="58"/>
      <c r="K20" s="1270"/>
    </row>
    <row r="21" spans="1:72" ht="15" customHeight="1">
      <c r="A21" s="1295" t="s">
        <v>675</v>
      </c>
      <c r="B21" s="1272">
        <f>SUM(C21:J21)</f>
        <v>0</v>
      </c>
      <c r="C21" s="79"/>
      <c r="D21" s="186"/>
      <c r="E21" s="186"/>
      <c r="F21" s="186"/>
      <c r="G21" s="186"/>
      <c r="H21" s="186"/>
      <c r="I21" s="186"/>
      <c r="J21" s="82"/>
      <c r="K21" s="1270"/>
    </row>
    <row r="22" spans="1:72" ht="17.149999999999999" customHeight="1">
      <c r="A22" s="2274" t="s">
        <v>669</v>
      </c>
      <c r="B22" s="2274"/>
      <c r="C22" s="2274"/>
      <c r="D22" s="2274"/>
      <c r="E22" s="2274"/>
      <c r="F22" s="2274"/>
      <c r="G22" s="2274"/>
      <c r="H22" s="2274"/>
      <c r="I22" s="2274"/>
      <c r="J22" s="2274"/>
      <c r="K22" s="2274"/>
      <c r="L22" s="2274"/>
    </row>
    <row r="23" spans="1:72" ht="20.149999999999999" customHeight="1">
      <c r="A23" s="2276" t="s">
        <v>670</v>
      </c>
      <c r="B23" s="2277"/>
      <c r="C23" s="2278"/>
      <c r="D23" s="1273" t="s">
        <v>5</v>
      </c>
      <c r="E23" s="1274" t="s">
        <v>660</v>
      </c>
      <c r="F23" s="1275" t="s">
        <v>661</v>
      </c>
      <c r="G23" s="1275" t="s">
        <v>662</v>
      </c>
      <c r="H23" s="1275" t="s">
        <v>663</v>
      </c>
      <c r="I23" s="1275" t="s">
        <v>664</v>
      </c>
      <c r="J23" s="1275" t="s">
        <v>665</v>
      </c>
      <c r="K23" s="1276" t="s">
        <v>666</v>
      </c>
      <c r="L23" s="1277" t="s">
        <v>667</v>
      </c>
      <c r="M23" s="3"/>
    </row>
    <row r="24" spans="1:72" ht="15" customHeight="1">
      <c r="A24" s="2272" t="s">
        <v>676</v>
      </c>
      <c r="B24" s="2272"/>
      <c r="C24" s="2265"/>
      <c r="D24" s="1278">
        <f t="shared" ref="D24:D32" si="3">SUM(E24:L24)</f>
        <v>0</v>
      </c>
      <c r="E24" s="1279"/>
      <c r="F24" s="1280"/>
      <c r="G24" s="1280"/>
      <c r="H24" s="1280"/>
      <c r="I24" s="1280"/>
      <c r="J24" s="1280"/>
      <c r="K24" s="1280"/>
      <c r="L24" s="1281"/>
      <c r="M24" s="1270"/>
    </row>
    <row r="25" spans="1:72" ht="15" customHeight="1">
      <c r="A25" s="2256" t="s">
        <v>677</v>
      </c>
      <c r="B25" s="2259" t="s">
        <v>678</v>
      </c>
      <c r="C25" s="2260"/>
      <c r="D25" s="1282">
        <f t="shared" si="3"/>
        <v>0</v>
      </c>
      <c r="E25" s="1283"/>
      <c r="F25" s="1284"/>
      <c r="G25" s="1284"/>
      <c r="H25" s="1284"/>
      <c r="I25" s="1284"/>
      <c r="J25" s="1284"/>
      <c r="K25" s="1284"/>
      <c r="L25" s="1285"/>
      <c r="M25" s="1270"/>
    </row>
    <row r="26" spans="1:72" ht="15" customHeight="1">
      <c r="A26" s="2257"/>
      <c r="B26" s="2259" t="s">
        <v>679</v>
      </c>
      <c r="C26" s="2260"/>
      <c r="D26" s="1282">
        <f t="shared" si="3"/>
        <v>0</v>
      </c>
      <c r="E26" s="1283"/>
      <c r="F26" s="1284"/>
      <c r="G26" s="1284"/>
      <c r="H26" s="1284"/>
      <c r="I26" s="1284"/>
      <c r="J26" s="1284"/>
      <c r="K26" s="1284"/>
      <c r="L26" s="1285"/>
    </row>
    <row r="27" spans="1:72" ht="15" customHeight="1">
      <c r="A27" s="2258"/>
      <c r="B27" s="2261" t="s">
        <v>680</v>
      </c>
      <c r="C27" s="2262"/>
      <c r="D27" s="1278">
        <f t="shared" si="3"/>
        <v>0</v>
      </c>
      <c r="E27" s="1279"/>
      <c r="F27" s="1280"/>
      <c r="G27" s="1280"/>
      <c r="H27" s="1280"/>
      <c r="I27" s="1280"/>
      <c r="J27" s="1280"/>
      <c r="K27" s="1280"/>
      <c r="L27" s="1281"/>
    </row>
    <row r="28" spans="1:72" ht="15" customHeight="1">
      <c r="A28" s="2263" t="s">
        <v>681</v>
      </c>
      <c r="B28" s="2266" t="s">
        <v>682</v>
      </c>
      <c r="C28" s="2267"/>
      <c r="D28" s="1286">
        <f t="shared" si="3"/>
        <v>0</v>
      </c>
      <c r="E28" s="1287"/>
      <c r="F28" s="1288"/>
      <c r="G28" s="1288"/>
      <c r="H28" s="1288"/>
      <c r="I28" s="1288"/>
      <c r="J28" s="1288"/>
      <c r="K28" s="1288"/>
      <c r="L28" s="1289"/>
    </row>
    <row r="29" spans="1:72">
      <c r="A29" s="2264"/>
      <c r="B29" s="2268" t="s">
        <v>683</v>
      </c>
      <c r="C29" s="2269"/>
      <c r="D29" s="1282">
        <f t="shared" si="3"/>
        <v>0</v>
      </c>
      <c r="E29" s="1283"/>
      <c r="F29" s="1284"/>
      <c r="G29" s="1284"/>
      <c r="H29" s="1284"/>
      <c r="I29" s="1284"/>
      <c r="J29" s="1284"/>
      <c r="K29" s="1284"/>
      <c r="L29" s="1290"/>
    </row>
    <row r="30" spans="1:72" ht="15" customHeight="1">
      <c r="A30" s="2264"/>
      <c r="B30" s="2268" t="s">
        <v>684</v>
      </c>
      <c r="C30" s="2269"/>
      <c r="D30" s="1282">
        <f t="shared" si="3"/>
        <v>0</v>
      </c>
      <c r="E30" s="1283"/>
      <c r="F30" s="1284"/>
      <c r="G30" s="1284"/>
      <c r="H30" s="1284"/>
      <c r="I30" s="1284"/>
      <c r="J30" s="1284"/>
      <c r="K30" s="1284"/>
      <c r="L30" s="1290"/>
    </row>
    <row r="31" spans="1:72">
      <c r="A31" s="2264"/>
      <c r="B31" s="2268" t="s">
        <v>685</v>
      </c>
      <c r="C31" s="2269"/>
      <c r="D31" s="1282">
        <f t="shared" si="3"/>
        <v>0</v>
      </c>
      <c r="E31" s="1283"/>
      <c r="F31" s="1284"/>
      <c r="G31" s="1284"/>
      <c r="H31" s="1284"/>
      <c r="I31" s="1284"/>
      <c r="J31" s="1284"/>
      <c r="K31" s="1284"/>
      <c r="L31" s="1290"/>
    </row>
    <row r="32" spans="1:72" ht="15" customHeight="1">
      <c r="A32" s="2265"/>
      <c r="B32" s="2270" t="s">
        <v>686</v>
      </c>
      <c r="C32" s="2271"/>
      <c r="D32" s="1278">
        <f t="shared" si="3"/>
        <v>0</v>
      </c>
      <c r="E32" s="1279"/>
      <c r="F32" s="1280"/>
      <c r="G32" s="1280"/>
      <c r="H32" s="1280"/>
      <c r="I32" s="1280"/>
      <c r="J32" s="1280"/>
      <c r="K32" s="1280"/>
      <c r="L32" s="1291"/>
    </row>
    <row r="49" spans="1:2" ht="12" hidden="1" customHeight="1">
      <c r="A49" s="1093">
        <f>SUM(B10:B14,B17:B21,D24:D32)</f>
        <v>0</v>
      </c>
      <c r="B49" s="383" t="s">
        <v>142</v>
      </c>
    </row>
    <row r="50" spans="1:2" ht="12" hidden="1" customHeight="1">
      <c r="A50" s="1093">
        <f>SUM(BM11:BT18)</f>
        <v>0</v>
      </c>
      <c r="B50" s="383" t="s">
        <v>143</v>
      </c>
    </row>
  </sheetData>
  <mergeCells count="16">
    <mergeCell ref="A24:C24"/>
    <mergeCell ref="A7:J7"/>
    <mergeCell ref="A8:J8"/>
    <mergeCell ref="A15:J15"/>
    <mergeCell ref="A22:L22"/>
    <mergeCell ref="A23:C23"/>
    <mergeCell ref="A25:A27"/>
    <mergeCell ref="B25:C25"/>
    <mergeCell ref="B26:C26"/>
    <mergeCell ref="B27:C27"/>
    <mergeCell ref="A28:A32"/>
    <mergeCell ref="B28:C28"/>
    <mergeCell ref="B29:C29"/>
    <mergeCell ref="B30:C30"/>
    <mergeCell ref="B31:C31"/>
    <mergeCell ref="B32:C32"/>
  </mergeCells>
  <dataValidations count="4">
    <dataValidation allowBlank="1" showInputMessage="1" showErrorMessage="1" errorTitle="Error de ingreso" error="Debe ingresar sólo números enteros positivos." sqref="BA10:BH11 K10:K14 K17:K21 BA17:BH18 A9 A16 A2:A5 A23:C23" xr:uid="{03542B58-38F7-4CDD-844E-71CC2DFF1067}"/>
    <dataValidation type="whole" operator="greaterThanOrEqual" allowBlank="1" showInputMessage="1" showErrorMessage="1" errorTitle="Error de ingreso" error="Debe ingresar sólo números enteros positivos." sqref="C17:J21 C10:J14 E24:L32" xr:uid="{A2A19D3E-B444-4955-A0FF-EB2EB480ECBA}">
      <formula1>0</formula1>
    </dataValidation>
    <dataValidation type="whole" allowBlank="1" showInputMessage="1" showErrorMessage="1" errorTitle="Error de ingreso" error="Debe ingresar sólo números enteros positivos." sqref="B9:B14 BG12:XFD12 M22:XFD1048576 AC12 AC8:BT9 BU15:XFD21 M8:AB21 AC15:BT15 K8:L8 K15:L15 BU8:XFD11 L9:L14 C9:K9 BA12:BE12 BI10:BT11 AW10:AZ14 BA13:XFD14 A15 L16:L21 AC18:AV21 C16:K16 AW16:AZ21 BA16:BH17 BM18:BT18 BI16:BT16 BA19:BT21 BI17:BL18 E23:L23 A33:L1048576 D23:D32 B1:XFD6 A22 B16:B21 L7:XFD7 A6:A8" xr:uid="{9A96CBD8-174B-4259-A08E-4785292427B1}">
      <formula1>0</formula1>
      <formula2>1000000000</formula2>
    </dataValidation>
    <dataValidation type="whole" allowBlank="1" showInputMessage="1" showErrorMessage="1" errorTitle="ERROR" error="Debe ingresar un valor entero" sqref="A10:A14 A17:A21" xr:uid="{5C0AED28-6D93-410F-B03E-4940B2CD0996}">
      <formula1>0</formula1>
      <formula2>99999999</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FC73-52F4-4797-8470-91B4F5C6659A}">
  <dimension ref="A1:AV111"/>
  <sheetViews>
    <sheetView workbookViewId="0"/>
  </sheetViews>
  <sheetFormatPr baseColWidth="10" defaultColWidth="11.453125" defaultRowHeight="10"/>
  <cols>
    <col min="1" max="1" width="22.36328125" style="6" customWidth="1"/>
    <col min="2" max="2" width="36.90625" style="6" customWidth="1"/>
    <col min="3" max="3" width="10.6328125" style="6" customWidth="1"/>
    <col min="4" max="5" width="10.54296875" style="6" customWidth="1"/>
    <col min="6" max="6" width="10.36328125" style="6" customWidth="1"/>
    <col min="7" max="8" width="10.54296875" style="6" customWidth="1"/>
    <col min="9" max="9" width="9.6328125" style="6" customWidth="1"/>
    <col min="10" max="11" width="10.54296875" style="6" customWidth="1"/>
    <col min="12" max="12" width="9.6328125" style="6" customWidth="1"/>
    <col min="13" max="17" width="10.54296875" style="6" customWidth="1"/>
    <col min="18" max="18" width="10.6328125" style="6" customWidth="1"/>
    <col min="19" max="24" width="11.453125" style="6"/>
    <col min="25" max="26" width="11.6328125" style="6" customWidth="1"/>
    <col min="27" max="35" width="11.6328125" style="5" customWidth="1"/>
    <col min="36" max="38" width="11.6328125" style="5" hidden="1" customWidth="1"/>
    <col min="39" max="48" width="11.453125" style="5" hidden="1" customWidth="1"/>
    <col min="49" max="16384" width="11.453125" style="5"/>
  </cols>
  <sheetData>
    <row r="1" spans="1:46" ht="13.5" customHeight="1">
      <c r="A1" s="1" t="s">
        <v>0</v>
      </c>
    </row>
    <row r="2" spans="1:46" ht="13.5" customHeight="1">
      <c r="A2" s="1" t="s">
        <v>449</v>
      </c>
    </row>
    <row r="3" spans="1:46" ht="13.5" customHeight="1">
      <c r="A3" s="1" t="s">
        <v>450</v>
      </c>
    </row>
    <row r="4" spans="1:46" ht="13.5" customHeight="1">
      <c r="A4" s="1" t="s">
        <v>451</v>
      </c>
    </row>
    <row r="5" spans="1:46" ht="13.5" customHeight="1">
      <c r="A5" s="1" t="s">
        <v>452</v>
      </c>
    </row>
    <row r="6" spans="1:46" ht="15" customHeight="1"/>
    <row r="7" spans="1:46" ht="26.25" customHeight="1">
      <c r="A7" s="2319" t="s">
        <v>687</v>
      </c>
      <c r="B7" s="2319"/>
      <c r="C7" s="2319"/>
      <c r="D7" s="2319"/>
      <c r="E7" s="2319"/>
      <c r="F7" s="2319"/>
      <c r="G7" s="2319"/>
      <c r="H7" s="2319"/>
      <c r="I7" s="2319"/>
      <c r="J7" s="2319"/>
      <c r="K7" s="2319"/>
      <c r="L7" s="2319"/>
      <c r="M7" s="2319"/>
      <c r="N7" s="2319"/>
      <c r="O7" s="2319"/>
      <c r="P7" s="2319"/>
      <c r="Q7" s="2319"/>
      <c r="S7" s="1296"/>
      <c r="T7" s="1296"/>
    </row>
    <row r="9" spans="1:46" ht="17.149999999999999" customHeight="1">
      <c r="A9" s="2320" t="s">
        <v>688</v>
      </c>
      <c r="B9" s="2320"/>
      <c r="C9" s="2320"/>
      <c r="D9" s="2320"/>
      <c r="E9" s="2320"/>
      <c r="F9" s="2320"/>
      <c r="G9" s="2320"/>
      <c r="H9" s="2320"/>
      <c r="I9" s="2320"/>
      <c r="J9" s="2320"/>
      <c r="K9" s="2320"/>
      <c r="L9" s="2320"/>
      <c r="M9" s="2320"/>
      <c r="N9" s="2320"/>
      <c r="O9" s="2320"/>
      <c r="P9" s="2320"/>
      <c r="Q9" s="2320"/>
      <c r="AJ9" s="2183" t="s">
        <v>576</v>
      </c>
      <c r="AK9" s="2061"/>
      <c r="AL9" s="2321" t="s">
        <v>577</v>
      </c>
      <c r="AM9" s="2080"/>
    </row>
    <row r="10" spans="1:46" ht="21" customHeight="1">
      <c r="A10" s="2322" t="s">
        <v>689</v>
      </c>
      <c r="B10" s="2323"/>
      <c r="C10" s="2326" t="s">
        <v>5</v>
      </c>
      <c r="D10" s="2326"/>
      <c r="E10" s="2326"/>
      <c r="F10" s="2326" t="s">
        <v>264</v>
      </c>
      <c r="G10" s="2326"/>
      <c r="H10" s="2326"/>
      <c r="I10" s="2326" t="s">
        <v>690</v>
      </c>
      <c r="J10" s="2326"/>
      <c r="K10" s="2327"/>
      <c r="L10" s="2298" t="s">
        <v>691</v>
      </c>
      <c r="M10" s="2326"/>
      <c r="N10" s="2326"/>
      <c r="O10" s="2326" t="s">
        <v>8</v>
      </c>
      <c r="P10" s="2326"/>
      <c r="Q10" s="2326"/>
      <c r="AJ10" s="1104" t="s">
        <v>692</v>
      </c>
      <c r="AK10" s="1104" t="s">
        <v>693</v>
      </c>
      <c r="AL10" s="1104" t="s">
        <v>692</v>
      </c>
      <c r="AM10" s="1104" t="s">
        <v>693</v>
      </c>
    </row>
    <row r="11" spans="1:46" ht="20">
      <c r="A11" s="2324"/>
      <c r="B11" s="2325"/>
      <c r="C11" s="1113" t="s">
        <v>178</v>
      </c>
      <c r="D11" s="1297" t="s">
        <v>42</v>
      </c>
      <c r="E11" s="1298" t="s">
        <v>179</v>
      </c>
      <c r="F11" s="1113" t="s">
        <v>361</v>
      </c>
      <c r="G11" s="1297" t="s">
        <v>42</v>
      </c>
      <c r="H11" s="1298" t="s">
        <v>179</v>
      </c>
      <c r="I11" s="1113" t="s">
        <v>361</v>
      </c>
      <c r="J11" s="1297" t="s">
        <v>42</v>
      </c>
      <c r="K11" s="1299" t="s">
        <v>179</v>
      </c>
      <c r="L11" s="1298" t="s">
        <v>361</v>
      </c>
      <c r="M11" s="1297" t="s">
        <v>42</v>
      </c>
      <c r="N11" s="1298" t="s">
        <v>179</v>
      </c>
      <c r="O11" s="1113" t="s">
        <v>361</v>
      </c>
      <c r="P11" s="1297" t="s">
        <v>42</v>
      </c>
      <c r="Q11" s="1298" t="s">
        <v>179</v>
      </c>
    </row>
    <row r="12" spans="1:46" ht="15" customHeight="1">
      <c r="A12" s="2313" t="s">
        <v>694</v>
      </c>
      <c r="B12" s="2314"/>
      <c r="C12" s="1300">
        <v>0</v>
      </c>
      <c r="D12" s="1301">
        <v>0</v>
      </c>
      <c r="E12" s="1302">
        <v>0</v>
      </c>
      <c r="F12" s="1300">
        <v>0</v>
      </c>
      <c r="G12" s="1303"/>
      <c r="H12" s="1304"/>
      <c r="I12" s="1300">
        <v>0</v>
      </c>
      <c r="J12" s="1303"/>
      <c r="K12" s="1305"/>
      <c r="L12" s="1302">
        <v>0</v>
      </c>
      <c r="M12" s="1303"/>
      <c r="N12" s="1304"/>
      <c r="O12" s="1300">
        <v>0</v>
      </c>
      <c r="P12" s="1303"/>
      <c r="Q12" s="1304"/>
      <c r="R12" s="6" t="str">
        <f>AJ12&amp;AK12&amp;AL12&amp;AM12</f>
        <v/>
      </c>
      <c r="AJ12" s="142" t="str">
        <f>IF(AND(D12&gt;0,OR(M12=""))," * No olvide digitar la variable Pueblos Originarios Hombres. Digite Cero si no tiene.",IF(M12&gt;D12," * La variable Pueblos Originarios Hombres no puede ser Mayor al Total Hombres.",""))</f>
        <v/>
      </c>
      <c r="AK12" s="142" t="str">
        <f>IF(AND(E12&gt;0,OR(N12=""))," * No olvide digitar la variable Pueblos Originarios Mujeres. Digite Cero si no tiene.",IF(N12&gt;E12," * La variable Pueblos Originarios Mujeres no puede ser Mayor al Total Mujeres.",""))</f>
        <v/>
      </c>
      <c r="AL12" s="142" t="str">
        <f>IF(AND($D12&gt;0,OR(P12=""))," * No olvide digitar la variable Migrantes Hombres. Digite Cero si no tiene.",IF(P12&gt;$D12," * La variable Migrantes Hombres no puede ser Mayor al Total Hombres.",""))</f>
        <v/>
      </c>
      <c r="AM12" s="142" t="str">
        <f>IF(AND($E12&gt;0,OR(Q12=""))," * No olvide digitar la variable Migrantes Mujeres. Digite Cero si no tiene.",IF(Q12&gt;$E12," * La variable Migrantes Mujeres no puede ser Mayor al Total Mujeres.",""))</f>
        <v/>
      </c>
      <c r="AQ12" s="34">
        <f>IF(AND($D12&gt;0,OR(M12="")),1,IF(M12&gt;$D12,1,0))</f>
        <v>0</v>
      </c>
      <c r="AR12" s="34">
        <f>IF(AND($E12&gt;0,OR(N12="")),1,IF(N12&gt;$E12,1,0))</f>
        <v>0</v>
      </c>
      <c r="AS12" s="34">
        <f>IF(AND($D12&gt;0,OR(P12="")),1,IF(P12&gt;$D12,1,0))</f>
        <v>0</v>
      </c>
      <c r="AT12" s="34">
        <f>IF(AND($E12&gt;0,OR(Q12="")),1,IF(Q12&gt;$E12,1,0))</f>
        <v>0</v>
      </c>
    </row>
    <row r="13" spans="1:46" ht="17.149999999999999" customHeight="1">
      <c r="A13" s="2285" t="s">
        <v>695</v>
      </c>
      <c r="B13" s="2285"/>
      <c r="C13" s="2285"/>
      <c r="D13" s="2285"/>
      <c r="E13" s="2285"/>
      <c r="F13" s="2285"/>
      <c r="G13" s="2285"/>
      <c r="H13" s="2285"/>
      <c r="I13" s="2285"/>
      <c r="J13" s="2285"/>
      <c r="K13" s="2285"/>
      <c r="L13" s="2285"/>
      <c r="M13" s="2285"/>
      <c r="N13" s="2285"/>
      <c r="O13" s="2285"/>
      <c r="P13" s="2285"/>
      <c r="Q13" s="2285"/>
    </row>
    <row r="14" spans="1:46" s="6" customFormat="1" ht="27" customHeight="1">
      <c r="A14" s="2315" t="s">
        <v>696</v>
      </c>
      <c r="B14" s="2316"/>
      <c r="C14" s="2296" t="s">
        <v>5</v>
      </c>
      <c r="D14" s="2297"/>
      <c r="E14" s="2298"/>
      <c r="F14" s="2296" t="s">
        <v>697</v>
      </c>
      <c r="G14" s="2297"/>
      <c r="H14" s="2298"/>
      <c r="I14" s="2296" t="s">
        <v>690</v>
      </c>
      <c r="J14" s="2297"/>
      <c r="K14" s="2297"/>
      <c r="L14" s="2300" t="s">
        <v>691</v>
      </c>
      <c r="M14" s="2297"/>
      <c r="N14" s="2298"/>
      <c r="O14" s="2297" t="s">
        <v>8</v>
      </c>
      <c r="P14" s="2297"/>
      <c r="Q14" s="2298"/>
      <c r="X14" s="5"/>
      <c r="Y14" s="5"/>
      <c r="Z14" s="5"/>
      <c r="AA14" s="5"/>
      <c r="AB14" s="5"/>
      <c r="AC14" s="5"/>
      <c r="AD14" s="5"/>
      <c r="AE14" s="5"/>
      <c r="AF14" s="5"/>
      <c r="AG14" s="5"/>
      <c r="AH14" s="5"/>
      <c r="AI14" s="5"/>
    </row>
    <row r="15" spans="1:46" s="6" customFormat="1" ht="28.5" customHeight="1">
      <c r="A15" s="2317"/>
      <c r="B15" s="2318"/>
      <c r="C15" s="1113" t="s">
        <v>178</v>
      </c>
      <c r="D15" s="1297" t="s">
        <v>42</v>
      </c>
      <c r="E15" s="1306" t="s">
        <v>179</v>
      </c>
      <c r="F15" s="1297" t="s">
        <v>361</v>
      </c>
      <c r="G15" s="1297" t="s">
        <v>42</v>
      </c>
      <c r="H15" s="1306" t="s">
        <v>179</v>
      </c>
      <c r="I15" s="1297" t="s">
        <v>361</v>
      </c>
      <c r="J15" s="1297" t="s">
        <v>42</v>
      </c>
      <c r="K15" s="1307" t="s">
        <v>179</v>
      </c>
      <c r="L15" s="1308" t="s">
        <v>361</v>
      </c>
      <c r="M15" s="1297" t="s">
        <v>42</v>
      </c>
      <c r="N15" s="1298" t="s">
        <v>179</v>
      </c>
      <c r="O15" s="1306" t="s">
        <v>361</v>
      </c>
      <c r="P15" s="1297" t="s">
        <v>42</v>
      </c>
      <c r="Q15" s="1298" t="s">
        <v>179</v>
      </c>
      <c r="S15" s="346"/>
      <c r="X15" s="5"/>
      <c r="Y15" s="5"/>
      <c r="Z15" s="5"/>
      <c r="AA15" s="5"/>
      <c r="AB15" s="5"/>
      <c r="AC15" s="5"/>
      <c r="AD15" s="5"/>
      <c r="AE15" s="5"/>
      <c r="AF15" s="5"/>
      <c r="AG15" s="5"/>
      <c r="AH15" s="5"/>
      <c r="AI15" s="5"/>
    </row>
    <row r="16" spans="1:46" s="6" customFormat="1" ht="15" customHeight="1">
      <c r="A16" s="1748" t="s">
        <v>698</v>
      </c>
      <c r="B16" s="1309" t="s">
        <v>699</v>
      </c>
      <c r="C16" s="1310">
        <v>0</v>
      </c>
      <c r="D16" s="1311">
        <v>0</v>
      </c>
      <c r="E16" s="1312">
        <v>0</v>
      </c>
      <c r="F16" s="1310">
        <v>0</v>
      </c>
      <c r="G16" s="1313"/>
      <c r="H16" s="1314"/>
      <c r="I16" s="1310">
        <v>0</v>
      </c>
      <c r="J16" s="1313"/>
      <c r="K16" s="1314"/>
      <c r="L16" s="1315">
        <v>0</v>
      </c>
      <c r="M16" s="1313"/>
      <c r="N16" s="1314"/>
      <c r="O16" s="1316">
        <v>0</v>
      </c>
      <c r="P16" s="1313"/>
      <c r="Q16" s="1314"/>
      <c r="R16" s="6" t="str">
        <f t="shared" ref="R16:R40" si="0">AJ16&amp;AK16&amp;AL16&amp;AM16</f>
        <v/>
      </c>
      <c r="X16" s="5"/>
      <c r="Y16" s="5"/>
      <c r="Z16" s="5"/>
      <c r="AA16" s="5"/>
      <c r="AB16" s="5"/>
      <c r="AC16" s="5"/>
      <c r="AD16" s="5"/>
      <c r="AE16" s="5"/>
      <c r="AF16" s="5"/>
      <c r="AG16" s="5"/>
      <c r="AH16" s="5"/>
      <c r="AI16" s="5"/>
      <c r="AJ16" s="142" t="str">
        <f>IF(AND(D16&gt;0,OR(M16=""))," * No olvide digitar la variable Pueblos Originarios Hombres. Digite Cero si no tiene.",IF(M16&gt;D16," * La variable Pueblos Originarios Hombres no puede ser Mayor al Total Hombres.",""))</f>
        <v/>
      </c>
      <c r="AK16" s="142" t="str">
        <f t="shared" ref="AK16:AK18" si="1">IF(AND(E16&gt;0,OR(N16=""))," * No olvide digitar la variable Pueblos Originarios Mujeres. Digite Cero si no tiene.",IF(N16&gt;E16," * La variable Pueblos Originarios Mujeres no puede ser Mayor al Total Mujeres.",""))</f>
        <v/>
      </c>
      <c r="AL16" s="142" t="str">
        <f t="shared" ref="AL16:AL18" si="2">IF(AND($D16&gt;0,OR(P16=""))," * No olvide digitar la variable Migrantes Hombres. Digite Cero si no tiene.",IF(P16&gt;$D16," * La variable Migrantes Hombres no puede ser Mayor al Total Hombres.",""))</f>
        <v/>
      </c>
      <c r="AM16" s="142" t="str">
        <f>IF(AND($E16&gt;0,OR(Q16=""))," * No olvide digitar la variable Migrantes Mujeres. Digite Cero si no tiene.",IF(Q16&gt;$E16," * La variable Migrantes Mujeres no puede ser Mayor al Total Mujeres.",""))</f>
        <v/>
      </c>
      <c r="AN16" s="5"/>
      <c r="AO16" s="5"/>
      <c r="AP16" s="5"/>
      <c r="AQ16" s="34">
        <f t="shared" ref="AQ16:AQ18" si="3">IF(AND($D16&gt;0,OR(M16="")),1,IF(M16&gt;$D16,1,0))</f>
        <v>0</v>
      </c>
      <c r="AR16" s="34">
        <f t="shared" ref="AR16:AR18" si="4">IF(AND($E16&gt;0,OR(N16="")),1,IF(N16&gt;$E16,1,0))</f>
        <v>0</v>
      </c>
      <c r="AS16" s="34">
        <f t="shared" ref="AS16:AS18" si="5">IF(AND($D16&gt;0,OR(P16="")),1,IF(P16&gt;$D16,1,0))</f>
        <v>0</v>
      </c>
      <c r="AT16" s="34">
        <f t="shared" ref="AT16:AT18" si="6">IF(AND($E16&gt;0,OR(Q16="")),1,IF(Q16&gt;$E16,1,0))</f>
        <v>0</v>
      </c>
    </row>
    <row r="17" spans="1:46" s="6" customFormat="1" ht="15" customHeight="1">
      <c r="A17" s="1748"/>
      <c r="B17" s="1317" t="s">
        <v>700</v>
      </c>
      <c r="C17" s="1318">
        <v>0</v>
      </c>
      <c r="D17" s="1319">
        <v>0</v>
      </c>
      <c r="E17" s="1312">
        <v>0</v>
      </c>
      <c r="F17" s="1318">
        <v>0</v>
      </c>
      <c r="G17" s="1320"/>
      <c r="H17" s="1321"/>
      <c r="I17" s="1318">
        <v>0</v>
      </c>
      <c r="J17" s="1320"/>
      <c r="K17" s="1321"/>
      <c r="L17" s="1322">
        <v>0</v>
      </c>
      <c r="M17" s="1320"/>
      <c r="N17" s="1321"/>
      <c r="O17" s="1323">
        <v>0</v>
      </c>
      <c r="P17" s="1320"/>
      <c r="Q17" s="1321"/>
      <c r="R17" s="6" t="str">
        <f t="shared" si="0"/>
        <v/>
      </c>
      <c r="S17" s="346"/>
      <c r="X17" s="5"/>
      <c r="Y17" s="5"/>
      <c r="Z17" s="5"/>
      <c r="AA17" s="5"/>
      <c r="AB17" s="5"/>
      <c r="AC17" s="5"/>
      <c r="AD17" s="5"/>
      <c r="AE17" s="5"/>
      <c r="AF17" s="5"/>
      <c r="AG17" s="5"/>
      <c r="AH17" s="5"/>
      <c r="AI17" s="5"/>
      <c r="AJ17" s="142" t="str">
        <f t="shared" ref="AJ17:AJ18" si="7">IF(AND(D17&gt;0,OR(M17=""))," * No olvide digitar la variable Pueblos Originarios Hombres. Digite Cero si no tiene.",IF(M17&gt;D17," * La variable Pueblos Originarios Hombres no puede ser Mayor al Total Hombres.",""))</f>
        <v/>
      </c>
      <c r="AK17" s="142" t="str">
        <f t="shared" si="1"/>
        <v/>
      </c>
      <c r="AL17" s="142" t="str">
        <f t="shared" si="2"/>
        <v/>
      </c>
      <c r="AM17" s="142" t="str">
        <f>IF(AND($E17&gt;0,OR(Q17=""))," * No olvide digitar la variable Migrantes Mujeres. Digite Cero si no tiene.",IF(Q17&gt;$E17," * La variable Migrantes Mujeres no puede ser Mayor al Total Mujeres.",""))</f>
        <v/>
      </c>
      <c r="AN17" s="5"/>
      <c r="AO17" s="5"/>
      <c r="AP17" s="5"/>
      <c r="AQ17" s="34">
        <f t="shared" si="3"/>
        <v>0</v>
      </c>
      <c r="AR17" s="34">
        <f t="shared" si="4"/>
        <v>0</v>
      </c>
      <c r="AS17" s="34">
        <f t="shared" si="5"/>
        <v>0</v>
      </c>
      <c r="AT17" s="34">
        <f t="shared" si="6"/>
        <v>0</v>
      </c>
    </row>
    <row r="18" spans="1:46" s="6" customFormat="1" ht="15" customHeight="1">
      <c r="A18" s="1748"/>
      <c r="B18" s="1324" t="s">
        <v>701</v>
      </c>
      <c r="C18" s="1325">
        <v>0</v>
      </c>
      <c r="D18" s="1326">
        <v>0</v>
      </c>
      <c r="E18" s="1327">
        <v>0</v>
      </c>
      <c r="F18" s="1325">
        <v>0</v>
      </c>
      <c r="G18" s="1328"/>
      <c r="H18" s="1329"/>
      <c r="I18" s="1325">
        <v>0</v>
      </c>
      <c r="J18" s="1328"/>
      <c r="K18" s="1329"/>
      <c r="L18" s="1330">
        <v>0</v>
      </c>
      <c r="M18" s="1328"/>
      <c r="N18" s="1329"/>
      <c r="O18" s="1327">
        <v>0</v>
      </c>
      <c r="P18" s="1328"/>
      <c r="Q18" s="1329"/>
      <c r="R18" s="6" t="str">
        <f t="shared" si="0"/>
        <v/>
      </c>
      <c r="X18" s="5"/>
      <c r="Y18" s="5"/>
      <c r="Z18" s="5"/>
      <c r="AA18" s="5"/>
      <c r="AB18" s="5"/>
      <c r="AC18" s="5"/>
      <c r="AD18" s="5"/>
      <c r="AE18" s="5"/>
      <c r="AF18" s="5"/>
      <c r="AG18" s="5"/>
      <c r="AH18" s="5"/>
      <c r="AI18" s="5"/>
      <c r="AJ18" s="142" t="str">
        <f t="shared" si="7"/>
        <v/>
      </c>
      <c r="AK18" s="142" t="str">
        <f t="shared" si="1"/>
        <v/>
      </c>
      <c r="AL18" s="142" t="str">
        <f t="shared" si="2"/>
        <v/>
      </c>
      <c r="AM18" s="142" t="str">
        <f t="shared" ref="AM18" si="8">IF(AND($E18&gt;0,OR(Q18=""))," * No olvide digitar la variable Migrantes Mujeres. Digite Cero si no tiene.",IF(Q18&gt;$E18," * La variable Migrantes Mujeres no puede ser Mayor al Total Hombres.",""))</f>
        <v/>
      </c>
      <c r="AN18" s="5"/>
      <c r="AO18" s="5"/>
      <c r="AP18" s="5"/>
      <c r="AQ18" s="34">
        <f t="shared" si="3"/>
        <v>0</v>
      </c>
      <c r="AR18" s="34">
        <f t="shared" si="4"/>
        <v>0</v>
      </c>
      <c r="AS18" s="34">
        <f t="shared" si="5"/>
        <v>0</v>
      </c>
      <c r="AT18" s="34">
        <f t="shared" si="6"/>
        <v>0</v>
      </c>
    </row>
    <row r="19" spans="1:46" s="6" customFormat="1" ht="15" customHeight="1">
      <c r="A19" s="1748"/>
      <c r="B19" s="1331" t="s">
        <v>194</v>
      </c>
      <c r="C19" s="1332">
        <v>0</v>
      </c>
      <c r="D19" s="1333">
        <v>0</v>
      </c>
      <c r="E19" s="1334">
        <v>0</v>
      </c>
      <c r="F19" s="1332">
        <v>0</v>
      </c>
      <c r="G19" s="1333">
        <v>0</v>
      </c>
      <c r="H19" s="1334">
        <v>0</v>
      </c>
      <c r="I19" s="1332">
        <v>0</v>
      </c>
      <c r="J19" s="1333">
        <v>0</v>
      </c>
      <c r="K19" s="1335">
        <v>0</v>
      </c>
      <c r="L19" s="1336">
        <v>0</v>
      </c>
      <c r="M19" s="1333">
        <v>0</v>
      </c>
      <c r="N19" s="1334">
        <v>0</v>
      </c>
      <c r="O19" s="1334">
        <v>0</v>
      </c>
      <c r="P19" s="1333">
        <v>0</v>
      </c>
      <c r="Q19" s="1337">
        <v>0</v>
      </c>
      <c r="X19" s="5"/>
      <c r="Y19" s="5"/>
      <c r="Z19" s="5"/>
      <c r="AA19" s="5"/>
      <c r="AB19" s="5"/>
      <c r="AC19" s="5"/>
      <c r="AD19" s="5"/>
      <c r="AE19" s="5"/>
      <c r="AF19" s="5"/>
      <c r="AG19" s="5"/>
      <c r="AH19" s="5"/>
      <c r="AI19" s="5"/>
      <c r="AJ19" s="5"/>
      <c r="AK19" s="5"/>
      <c r="AL19" s="5"/>
    </row>
    <row r="20" spans="1:46" s="6" customFormat="1" ht="15" customHeight="1">
      <c r="A20" s="1748"/>
      <c r="B20" s="1338" t="s">
        <v>702</v>
      </c>
      <c r="C20" s="1310">
        <v>0</v>
      </c>
      <c r="D20" s="1311">
        <v>0</v>
      </c>
      <c r="E20" s="1312">
        <v>0</v>
      </c>
      <c r="F20" s="1310">
        <v>0</v>
      </c>
      <c r="G20" s="1339"/>
      <c r="H20" s="1340"/>
      <c r="I20" s="1310">
        <v>0</v>
      </c>
      <c r="J20" s="1339"/>
      <c r="K20" s="1341"/>
      <c r="L20" s="1342">
        <v>0</v>
      </c>
      <c r="M20" s="1339"/>
      <c r="N20" s="1340"/>
      <c r="O20" s="1312">
        <v>0</v>
      </c>
      <c r="P20" s="1339"/>
      <c r="Q20" s="1340"/>
      <c r="R20" s="6" t="str">
        <f t="shared" si="0"/>
        <v/>
      </c>
      <c r="X20" s="5"/>
      <c r="Y20" s="5"/>
      <c r="Z20" s="5"/>
      <c r="AA20" s="5"/>
      <c r="AB20" s="5"/>
      <c r="AC20" s="5"/>
      <c r="AD20" s="5"/>
      <c r="AE20" s="5"/>
      <c r="AF20" s="5"/>
      <c r="AG20" s="5"/>
      <c r="AH20" s="5"/>
      <c r="AI20" s="5"/>
      <c r="AJ20" s="142" t="str">
        <f>IF(AND(D20&gt;0,OR(M20=""))," * No olvide digitar la variable Pueblos Originarios Hombres. Digite Cero si no tiene.",IF(M20&gt;D20," * La variable Pueblos Originarios Hombres no puede ser Mayor al Total Hombres.",""))</f>
        <v/>
      </c>
      <c r="AK20" s="142" t="str">
        <f>IF(AND(E20&gt;0,OR(N20=""))," * No olvide digitar la variable Pueblos Originarios Mujeres. Digite Cero si no tiene.",IF(N20&gt;E20," * La variable Pueblos Originarios Mujeres no puede ser Mayor al Total Mujeres.",""))</f>
        <v/>
      </c>
      <c r="AL20" s="142" t="str">
        <f>IF(AND($D20&gt;0,OR(P20=""))," * No olvide digitar la variable Migrantes Hombres. Digite Cero si no tiene.",IF(P20&gt;$D20," * La variable Migrantes Hombres no puede ser Mayor al Total Hombres.",""))</f>
        <v/>
      </c>
      <c r="AM20" s="142" t="str">
        <f>IF(AND($E20&gt;0,OR(Q20=""))," * No olvide digitar la variable Migrantes Mujeres. Digite Cero si no tiene.",IF(Q20&gt;$E20," * La variable Migrantes Mujeres no puede ser Mayor al Total Mujeres.",""))</f>
        <v/>
      </c>
      <c r="AN20" s="5"/>
      <c r="AO20" s="5"/>
      <c r="AP20" s="5"/>
      <c r="AQ20" s="34">
        <f>IF(AND($D20&gt;0,OR(M20="")),1,IF(M20&gt;$D20,1,0))</f>
        <v>0</v>
      </c>
      <c r="AR20" s="34">
        <f>IF(AND($E20&gt;0,OR(N20="")),1,IF(N20&gt;$E20,1,0))</f>
        <v>0</v>
      </c>
      <c r="AS20" s="34">
        <f>IF(AND($D20&gt;0,OR(P20="")),1,IF(P20&gt;$D20,1,0))</f>
        <v>0</v>
      </c>
      <c r="AT20" s="34">
        <f>IF(AND($E20&gt;0,OR(Q20="")),1,IF(Q20&gt;$E20,1,0))</f>
        <v>0</v>
      </c>
    </row>
    <row r="21" spans="1:46" s="6" customFormat="1" ht="15" customHeight="1">
      <c r="A21" s="1748"/>
      <c r="B21" s="1343" t="s">
        <v>703</v>
      </c>
      <c r="C21" s="1344">
        <v>0</v>
      </c>
      <c r="D21" s="1345">
        <v>0</v>
      </c>
      <c r="E21" s="1346">
        <v>0</v>
      </c>
      <c r="F21" s="1344">
        <v>0</v>
      </c>
      <c r="G21" s="1347"/>
      <c r="H21" s="1348"/>
      <c r="I21" s="1344">
        <v>0</v>
      </c>
      <c r="J21" s="1347"/>
      <c r="K21" s="1349"/>
      <c r="L21" s="1350">
        <v>0</v>
      </c>
      <c r="M21" s="1347"/>
      <c r="N21" s="1348"/>
      <c r="O21" s="1351">
        <v>0</v>
      </c>
      <c r="P21" s="1347"/>
      <c r="Q21" s="1348"/>
      <c r="R21" s="6" t="str">
        <f t="shared" si="0"/>
        <v/>
      </c>
      <c r="X21" s="5"/>
      <c r="Y21" s="5"/>
      <c r="Z21" s="5"/>
      <c r="AA21" s="5"/>
      <c r="AB21" s="5"/>
      <c r="AC21" s="5"/>
      <c r="AD21" s="5"/>
      <c r="AE21" s="5"/>
      <c r="AF21" s="5"/>
      <c r="AG21" s="5"/>
      <c r="AH21" s="5"/>
      <c r="AI21" s="5"/>
      <c r="AJ21" s="142" t="str">
        <f>IF(AND(D21&gt;0,OR(M21=""))," * No olvide digitar la variable Pueblos Originarios Hombres. Digite Cero si no tiene.",IF(M21&gt;D21," * La variable Pueblos Originarios Hombres no puede ser Mayor al Total Hombres.",""))</f>
        <v/>
      </c>
      <c r="AK21" s="142" t="str">
        <f>IF(AND(E21&gt;0,OR(N21=""))," * No olvide digitar la variable Pueblos Originarios Mujeres. Digite Cero si no tiene.",IF(N21&gt;E21," * La variable Pueblos Originarios Mujeres no puede ser Mayor al Total Mujeres.",""))</f>
        <v/>
      </c>
      <c r="AL21" s="142" t="str">
        <f>IF(AND($D21&gt;0,OR(P21=""))," * No olvide digitar la variable Migrantes Hombres. Digite Cero si no tiene.",IF(P21&gt;$D21," * La variable Migrantes Hombres no puede ser Mayor al Total Hombres.",""))</f>
        <v/>
      </c>
      <c r="AM21" s="142" t="str">
        <f>IF(AND($E21&gt;0,OR(Q21=""))," * No olvide digitar la variable Migrantes Mujeres. Digite Cero si no tiene.",IF(Q21&gt;$E21," * La variable Migrantes Mujeres no puede ser Mayor al Total Mujeres.",""))</f>
        <v/>
      </c>
      <c r="AN21" s="5"/>
      <c r="AO21" s="5"/>
      <c r="AP21" s="5"/>
      <c r="AQ21" s="34">
        <f>IF(AND($D21&gt;0,OR(M21="")),1,IF(M21&gt;$D21,1,0))</f>
        <v>0</v>
      </c>
      <c r="AR21" s="34">
        <f>IF(AND($E21&gt;0,OR(N21="")),1,IF(N21&gt;$E21,1,0))</f>
        <v>0</v>
      </c>
      <c r="AS21" s="34">
        <f>IF(AND($D21&gt;0,OR(P21="")),1,IF(P21&gt;$D21,1,0))</f>
        <v>0</v>
      </c>
      <c r="AT21" s="34">
        <f>IF(AND($E21&gt;0,OR(Q21="")),1,IF(Q21&gt;$E21,1,0))</f>
        <v>0</v>
      </c>
    </row>
    <row r="22" spans="1:46" s="6" customFormat="1" ht="15" customHeight="1">
      <c r="A22" s="1748"/>
      <c r="B22" s="1352" t="s">
        <v>194</v>
      </c>
      <c r="C22" s="1300">
        <v>0</v>
      </c>
      <c r="D22" s="1301">
        <v>0</v>
      </c>
      <c r="E22" s="1302">
        <v>0</v>
      </c>
      <c r="F22" s="1300">
        <v>0</v>
      </c>
      <c r="G22" s="1301">
        <v>0</v>
      </c>
      <c r="H22" s="1302">
        <v>0</v>
      </c>
      <c r="I22" s="1300">
        <v>0</v>
      </c>
      <c r="J22" s="1301">
        <v>0</v>
      </c>
      <c r="K22" s="1353">
        <v>0</v>
      </c>
      <c r="L22" s="1354">
        <v>0</v>
      </c>
      <c r="M22" s="1301">
        <v>0</v>
      </c>
      <c r="N22" s="1302">
        <v>0</v>
      </c>
      <c r="O22" s="1302">
        <v>0</v>
      </c>
      <c r="P22" s="1301">
        <v>0</v>
      </c>
      <c r="Q22" s="1355">
        <v>0</v>
      </c>
      <c r="X22" s="5"/>
      <c r="Y22" s="5"/>
      <c r="Z22" s="5"/>
      <c r="AA22" s="5"/>
      <c r="AB22" s="5"/>
      <c r="AC22" s="5"/>
      <c r="AD22" s="5"/>
      <c r="AE22" s="5"/>
      <c r="AF22" s="5"/>
      <c r="AG22" s="5"/>
      <c r="AH22" s="5"/>
      <c r="AI22" s="5"/>
      <c r="AJ22" s="5"/>
      <c r="AK22" s="5"/>
      <c r="AL22" s="5"/>
    </row>
    <row r="23" spans="1:46" s="6" customFormat="1" ht="15" customHeight="1">
      <c r="A23" s="1749"/>
      <c r="B23" s="1356" t="s">
        <v>704</v>
      </c>
      <c r="C23" s="1300">
        <v>0</v>
      </c>
      <c r="D23" s="1301">
        <v>0</v>
      </c>
      <c r="E23" s="1302">
        <v>0</v>
      </c>
      <c r="F23" s="1300">
        <v>0</v>
      </c>
      <c r="G23" s="1303"/>
      <c r="H23" s="1357"/>
      <c r="I23" s="1300">
        <v>0</v>
      </c>
      <c r="J23" s="1303"/>
      <c r="K23" s="1358"/>
      <c r="L23" s="1354">
        <v>0</v>
      </c>
      <c r="M23" s="1303"/>
      <c r="N23" s="1357"/>
      <c r="O23" s="1302">
        <v>0</v>
      </c>
      <c r="P23" s="1303"/>
      <c r="Q23" s="1357"/>
      <c r="R23" s="6" t="str">
        <f t="shared" si="0"/>
        <v/>
      </c>
      <c r="X23" s="5"/>
      <c r="Y23" s="5"/>
      <c r="Z23" s="5"/>
      <c r="AA23" s="5"/>
      <c r="AB23" s="5"/>
      <c r="AC23" s="5"/>
      <c r="AD23" s="5"/>
      <c r="AE23" s="5"/>
      <c r="AF23" s="5"/>
      <c r="AG23" s="5"/>
      <c r="AH23" s="5"/>
      <c r="AI23" s="5"/>
      <c r="AJ23" s="142" t="str">
        <f t="shared" ref="AJ23:AJ25" si="9">IF(AND(D23&gt;0,OR(M23=""))," * No olvide digitar la variable Pueblos Originarios Hombres. Digite Cero si no tiene.",IF(M23&gt;D23," * La variable Pueblos Originarios Hombres no puede ser Mayor al Total Hombres.",""))</f>
        <v/>
      </c>
      <c r="AK23" s="142" t="str">
        <f t="shared" ref="AK23:AK25" si="10">IF(AND(E23&gt;0,OR(N23=""))," * No olvide digitar la variable Pueblos Originarios Mujeres. Digite Cero si no tiene.",IF(N23&gt;E23," * La variable Pueblos Originarios Mujeres no puede ser Mayor al Total Mujeres.",""))</f>
        <v/>
      </c>
      <c r="AL23" s="142" t="str">
        <f t="shared" ref="AL23:AL25" si="11">IF(AND($D23&gt;0,OR(P23=""))," * No olvide digitar la variable Migrantes Hombres. Digite Cero si no tiene.",IF(P23&gt;$D23," * La variable Migrantes Hombres no puede ser Mayor al Total Hombres.",""))</f>
        <v/>
      </c>
      <c r="AM23" s="1359" t="str">
        <f>IF(AND($E23&gt;0,OR(Q23=""))," * No olvide digitar la variable Migrantes Mujeres. Digite Cero si no tiene.",IF(Q23&gt;$E23," * La variable Migrantes Mujeres no puede ser Mayor al Total Mujeres.",""))</f>
        <v/>
      </c>
      <c r="AN23" s="5"/>
      <c r="AO23" s="5"/>
      <c r="AP23" s="5"/>
      <c r="AQ23" s="34">
        <f t="shared" ref="AQ23:AQ25" si="12">IF(AND($D23&gt;0,OR(M23="")),1,IF(M23&gt;$D23,1,0))</f>
        <v>0</v>
      </c>
      <c r="AR23" s="34">
        <f t="shared" ref="AR23:AR25" si="13">IF(AND($E23&gt;0,OR(N23="")),1,IF(N23&gt;$E23,1,0))</f>
        <v>0</v>
      </c>
      <c r="AS23" s="34">
        <f t="shared" ref="AS23:AS25" si="14">IF(AND($D23&gt;0,OR(P23="")),1,IF(P23&gt;$D23,1,0))</f>
        <v>0</v>
      </c>
      <c r="AT23" s="34">
        <f t="shared" ref="AT23:AT25" si="15">IF(AND($E23&gt;0,OR(Q23="")),1,IF(Q23&gt;$E23,1,0))</f>
        <v>0</v>
      </c>
    </row>
    <row r="24" spans="1:46" s="6" customFormat="1" ht="15" customHeight="1">
      <c r="A24" s="2305" t="s">
        <v>705</v>
      </c>
      <c r="B24" s="1360" t="s">
        <v>706</v>
      </c>
      <c r="C24" s="1361">
        <f t="shared" ref="C24:C42" si="16">SUM(D24:E24)</f>
        <v>0</v>
      </c>
      <c r="D24" s="1311">
        <v>0</v>
      </c>
      <c r="E24" s="1312">
        <v>0</v>
      </c>
      <c r="F24" s="1361">
        <f>SUM(G24:H24)</f>
        <v>0</v>
      </c>
      <c r="G24" s="1339"/>
      <c r="H24" s="1340"/>
      <c r="I24" s="1361">
        <f>SUM(J24:K24)</f>
        <v>0</v>
      </c>
      <c r="J24" s="1339"/>
      <c r="K24" s="1341"/>
      <c r="L24" s="1362">
        <f>SUM(M24:N24)</f>
        <v>0</v>
      </c>
      <c r="M24" s="1339"/>
      <c r="N24" s="1340"/>
      <c r="O24" s="1363">
        <f>SUM(P24:Q24)</f>
        <v>0</v>
      </c>
      <c r="P24" s="1339"/>
      <c r="Q24" s="1340"/>
      <c r="R24" s="6" t="str">
        <f t="shared" si="0"/>
        <v/>
      </c>
      <c r="X24" s="5"/>
      <c r="Y24" s="5"/>
      <c r="Z24" s="5"/>
      <c r="AA24" s="5"/>
      <c r="AB24" s="5"/>
      <c r="AC24" s="5"/>
      <c r="AD24" s="5"/>
      <c r="AE24" s="5"/>
      <c r="AF24" s="5"/>
      <c r="AG24" s="5"/>
      <c r="AH24" s="5"/>
      <c r="AI24" s="5"/>
      <c r="AJ24" s="142" t="str">
        <f t="shared" si="9"/>
        <v/>
      </c>
      <c r="AK24" s="142" t="str">
        <f t="shared" si="10"/>
        <v/>
      </c>
      <c r="AL24" s="142" t="str">
        <f t="shared" si="11"/>
        <v/>
      </c>
      <c r="AM24" s="1359" t="str">
        <f>IF(AND($E24&gt;0,OR(Q24=""))," * No olvide digitar la variable Migrantes Mujeres. Digite Cero si no tiene.",IF(Q24&gt;$E24," * La variable Migrantes Mujeres no puede ser Mayor al Total Mujeres.",""))</f>
        <v/>
      </c>
      <c r="AN24" s="5"/>
      <c r="AO24" s="5"/>
      <c r="AP24" s="5"/>
      <c r="AQ24" s="34">
        <f t="shared" si="12"/>
        <v>0</v>
      </c>
      <c r="AR24" s="34">
        <f t="shared" si="13"/>
        <v>0</v>
      </c>
      <c r="AS24" s="34">
        <f t="shared" si="14"/>
        <v>0</v>
      </c>
      <c r="AT24" s="34">
        <f t="shared" si="15"/>
        <v>0</v>
      </c>
    </row>
    <row r="25" spans="1:46" s="6" customFormat="1" ht="15" customHeight="1">
      <c r="A25" s="1748"/>
      <c r="B25" s="1317" t="s">
        <v>707</v>
      </c>
      <c r="C25" s="1364">
        <f t="shared" si="16"/>
        <v>0</v>
      </c>
      <c r="D25" s="1345">
        <v>0</v>
      </c>
      <c r="E25" s="1346">
        <v>0</v>
      </c>
      <c r="F25" s="1364">
        <f>SUM(G25:H25)</f>
        <v>0</v>
      </c>
      <c r="G25" s="1328"/>
      <c r="H25" s="1329"/>
      <c r="I25" s="1365">
        <f>SUM(J25:K25)</f>
        <v>0</v>
      </c>
      <c r="J25" s="1328"/>
      <c r="K25" s="1366"/>
      <c r="L25" s="1367">
        <f>SUM(M25:N25)</f>
        <v>0</v>
      </c>
      <c r="M25" s="1328"/>
      <c r="N25" s="1329"/>
      <c r="O25" s="1368">
        <f>SUM(P25:Q25)</f>
        <v>0</v>
      </c>
      <c r="P25" s="1328"/>
      <c r="Q25" s="1329"/>
      <c r="R25" s="6" t="str">
        <f t="shared" si="0"/>
        <v/>
      </c>
      <c r="X25" s="5"/>
      <c r="Y25" s="5"/>
      <c r="Z25" s="5"/>
      <c r="AA25" s="5"/>
      <c r="AB25" s="5"/>
      <c r="AC25" s="5"/>
      <c r="AD25" s="5"/>
      <c r="AE25" s="5"/>
      <c r="AF25" s="5"/>
      <c r="AG25" s="5"/>
      <c r="AH25" s="5"/>
      <c r="AI25" s="5"/>
      <c r="AJ25" s="142" t="str">
        <f t="shared" si="9"/>
        <v/>
      </c>
      <c r="AK25" s="142" t="str">
        <f t="shared" si="10"/>
        <v/>
      </c>
      <c r="AL25" s="142" t="str">
        <f t="shared" si="11"/>
        <v/>
      </c>
      <c r="AM25" s="1359" t="str">
        <f>IF(AND($E25&gt;0,OR(Q25=""))," * No olvide digitar la variable Migrantes Mujeres. Digite Cero si no tiene.",IF(Q25&gt;$E25," * La variable Migrantes Mujeres no puede ser Mayor al Total Mujeres.",""))</f>
        <v/>
      </c>
      <c r="AN25" s="5"/>
      <c r="AO25" s="5"/>
      <c r="AP25" s="5"/>
      <c r="AQ25" s="34">
        <f t="shared" si="12"/>
        <v>0</v>
      </c>
      <c r="AR25" s="34">
        <f t="shared" si="13"/>
        <v>0</v>
      </c>
      <c r="AS25" s="34">
        <f t="shared" si="14"/>
        <v>0</v>
      </c>
      <c r="AT25" s="34">
        <f t="shared" si="15"/>
        <v>0</v>
      </c>
    </row>
    <row r="26" spans="1:46" s="6" customFormat="1" ht="15" customHeight="1">
      <c r="A26" s="1748"/>
      <c r="B26" s="1369" t="s">
        <v>194</v>
      </c>
      <c r="C26" s="1370">
        <f t="shared" si="16"/>
        <v>0</v>
      </c>
      <c r="D26" s="1301">
        <v>0</v>
      </c>
      <c r="E26" s="1302">
        <v>0</v>
      </c>
      <c r="F26" s="1300">
        <v>0</v>
      </c>
      <c r="G26" s="1301">
        <v>0</v>
      </c>
      <c r="H26" s="1302">
        <v>0</v>
      </c>
      <c r="I26" s="1300">
        <v>0</v>
      </c>
      <c r="J26" s="1301">
        <v>0</v>
      </c>
      <c r="K26" s="1353">
        <v>0</v>
      </c>
      <c r="L26" s="1354">
        <v>0</v>
      </c>
      <c r="M26" s="1301">
        <v>0</v>
      </c>
      <c r="N26" s="1302">
        <v>0</v>
      </c>
      <c r="O26" s="1302">
        <v>0</v>
      </c>
      <c r="P26" s="1301">
        <v>0</v>
      </c>
      <c r="Q26" s="1355">
        <v>0</v>
      </c>
      <c r="X26" s="5"/>
      <c r="Y26" s="5"/>
      <c r="Z26" s="5"/>
      <c r="AA26" s="5"/>
      <c r="AB26" s="5"/>
      <c r="AC26" s="5"/>
      <c r="AD26" s="5"/>
      <c r="AE26" s="5"/>
      <c r="AF26" s="5"/>
      <c r="AG26" s="5"/>
      <c r="AH26" s="5"/>
      <c r="AI26" s="5"/>
      <c r="AJ26" s="5"/>
      <c r="AK26" s="5"/>
      <c r="AL26" s="5"/>
    </row>
    <row r="27" spans="1:46" s="6" customFormat="1" ht="15" customHeight="1">
      <c r="A27" s="1748"/>
      <c r="B27" s="1309" t="s">
        <v>708</v>
      </c>
      <c r="C27" s="1361">
        <f t="shared" si="16"/>
        <v>0</v>
      </c>
      <c r="D27" s="1311">
        <v>0</v>
      </c>
      <c r="E27" s="1312">
        <v>0</v>
      </c>
      <c r="F27" s="1361">
        <f>SUM(G27:H27)</f>
        <v>0</v>
      </c>
      <c r="G27" s="1339"/>
      <c r="H27" s="1340"/>
      <c r="I27" s="1361">
        <f>SUM(J27:K27)</f>
        <v>0</v>
      </c>
      <c r="J27" s="1339"/>
      <c r="K27" s="1371"/>
      <c r="L27" s="1362">
        <f>SUM(M27:N27)</f>
        <v>0</v>
      </c>
      <c r="M27" s="1339"/>
      <c r="N27" s="1340"/>
      <c r="O27" s="1363">
        <f>SUM(P27:Q27)</f>
        <v>0</v>
      </c>
      <c r="P27" s="1339"/>
      <c r="Q27" s="1340"/>
      <c r="R27" s="6" t="str">
        <f t="shared" si="0"/>
        <v/>
      </c>
      <c r="X27" s="5"/>
      <c r="Y27" s="5"/>
      <c r="Z27" s="5"/>
      <c r="AA27" s="5"/>
      <c r="AB27" s="5"/>
      <c r="AC27" s="5"/>
      <c r="AD27" s="5"/>
      <c r="AE27" s="5"/>
      <c r="AF27" s="5"/>
      <c r="AG27" s="5"/>
      <c r="AH27" s="5"/>
      <c r="AI27" s="5"/>
      <c r="AJ27" s="142" t="str">
        <f t="shared" ref="AJ27:AJ28" si="17">IF(AND(D27&gt;0,OR(M27=""))," * No olvide digitar la variable Pueblos Originarios Hombres. Digite Cero si no tiene.",IF(M27&gt;D27," * La variable Pueblos Originarios Hombres no puede ser Mayor al Total Hombres.",""))</f>
        <v/>
      </c>
      <c r="AK27" s="142" t="str">
        <f t="shared" ref="AK27:AK28" si="18">IF(AND(E27&gt;0,OR(N27=""))," * No olvide digitar la variable Pueblos Originarios Mujeres. Digite Cero si no tiene.",IF(N27&gt;E27," * La variable Pueblos Originarios Mujeres no puede ser Mayor al Total Mujeres.",""))</f>
        <v/>
      </c>
      <c r="AL27" s="142" t="str">
        <f t="shared" ref="AL27:AL28" si="19">IF(AND($D27&gt;0,OR(P27=""))," * No olvide digitar la variable Migrantes Hombres. Digite Cero si no tiene.",IF(P27&gt;$D27," * La variable Migrantes Hombres no puede ser Mayor al Total Hombres.",""))</f>
        <v/>
      </c>
      <c r="AM27" s="1359" t="str">
        <f>IF(AND($E27&gt;0,OR(Q27=""))," * No olvide digitar la variable Migrantes Mujeres. Digite Cero si no tiene.",IF(Q27&gt;$E27," * La variable Migrantes Mujeres no puede ser Mayor al Total Mujeres.",""))</f>
        <v/>
      </c>
      <c r="AN27" s="5"/>
      <c r="AO27" s="5"/>
      <c r="AP27" s="5"/>
      <c r="AQ27" s="34">
        <f t="shared" ref="AQ27:AQ28" si="20">IF(AND($D27&gt;0,OR(M27="")),1,IF(M27&gt;$D27,1,0))</f>
        <v>0</v>
      </c>
      <c r="AR27" s="34">
        <f t="shared" ref="AR27:AR28" si="21">IF(AND($E27&gt;0,OR(N27="")),1,IF(N27&gt;$E27,1,0))</f>
        <v>0</v>
      </c>
      <c r="AS27" s="34">
        <f t="shared" ref="AS27:AS28" si="22">IF(AND($D27&gt;0,OR(P27="")),1,IF(P27&gt;$D27,1,0))</f>
        <v>0</v>
      </c>
      <c r="AT27" s="34">
        <f t="shared" ref="AT27:AT28" si="23">IF(AND($E27&gt;0,OR(Q27="")),1,IF(Q27&gt;$E27,1,0))</f>
        <v>0</v>
      </c>
    </row>
    <row r="28" spans="1:46" s="6" customFormat="1" ht="15" customHeight="1">
      <c r="A28" s="1748"/>
      <c r="B28" s="1372" t="s">
        <v>709</v>
      </c>
      <c r="C28" s="1364">
        <f t="shared" si="16"/>
        <v>0</v>
      </c>
      <c r="D28" s="1345">
        <v>0</v>
      </c>
      <c r="E28" s="1346">
        <v>0</v>
      </c>
      <c r="F28" s="1364">
        <f>SUM(G28:H28)</f>
        <v>0</v>
      </c>
      <c r="G28" s="1347"/>
      <c r="H28" s="1348"/>
      <c r="I28" s="1364">
        <f>SUM(J28:K28)</f>
        <v>0</v>
      </c>
      <c r="J28" s="1347"/>
      <c r="K28" s="1366"/>
      <c r="L28" s="1373">
        <f>SUM(M28:N28)</f>
        <v>0</v>
      </c>
      <c r="M28" s="1347"/>
      <c r="N28" s="1348"/>
      <c r="O28" s="1374">
        <f>SUM(P28:Q28)</f>
        <v>0</v>
      </c>
      <c r="P28" s="1347"/>
      <c r="Q28" s="1348"/>
      <c r="R28" s="6" t="str">
        <f t="shared" si="0"/>
        <v/>
      </c>
      <c r="X28" s="5"/>
      <c r="Y28" s="5"/>
      <c r="Z28" s="5"/>
      <c r="AA28" s="5"/>
      <c r="AB28" s="5"/>
      <c r="AC28" s="5"/>
      <c r="AD28" s="5"/>
      <c r="AE28" s="5"/>
      <c r="AF28" s="5"/>
      <c r="AG28" s="5"/>
      <c r="AH28" s="5"/>
      <c r="AI28" s="5"/>
      <c r="AJ28" s="142" t="str">
        <f t="shared" si="17"/>
        <v/>
      </c>
      <c r="AK28" s="142" t="str">
        <f t="shared" si="18"/>
        <v/>
      </c>
      <c r="AL28" s="142" t="str">
        <f t="shared" si="19"/>
        <v/>
      </c>
      <c r="AM28" s="1359" t="str">
        <f>IF(AND($E28&gt;0,OR(Q28=""))," * No olvide digitar la variable Migrantes Mujeres. Digite Cero si no tiene.",IF(Q28&gt;$E28," * La variable Migrantes Mujeres no puede ser Mayor al Total Mujeres.",""))</f>
        <v/>
      </c>
      <c r="AN28" s="5"/>
      <c r="AO28" s="5"/>
      <c r="AP28" s="5"/>
      <c r="AQ28" s="34">
        <f t="shared" si="20"/>
        <v>0</v>
      </c>
      <c r="AR28" s="34">
        <f t="shared" si="21"/>
        <v>0</v>
      </c>
      <c r="AS28" s="34">
        <f t="shared" si="22"/>
        <v>0</v>
      </c>
      <c r="AT28" s="34">
        <f t="shared" si="23"/>
        <v>0</v>
      </c>
    </row>
    <row r="29" spans="1:46" s="6" customFormat="1" ht="15" customHeight="1">
      <c r="A29" s="1748"/>
      <c r="B29" s="1375" t="s">
        <v>194</v>
      </c>
      <c r="C29" s="1300">
        <v>0</v>
      </c>
      <c r="D29" s="1301">
        <v>0</v>
      </c>
      <c r="E29" s="1302">
        <v>0</v>
      </c>
      <c r="F29" s="1300">
        <v>0</v>
      </c>
      <c r="G29" s="1301">
        <v>0</v>
      </c>
      <c r="H29" s="1302">
        <v>0</v>
      </c>
      <c r="I29" s="1300">
        <v>0</v>
      </c>
      <c r="J29" s="1301">
        <v>0</v>
      </c>
      <c r="K29" s="1353">
        <v>0</v>
      </c>
      <c r="L29" s="1354">
        <v>0</v>
      </c>
      <c r="M29" s="1301">
        <v>0</v>
      </c>
      <c r="N29" s="1302">
        <v>0</v>
      </c>
      <c r="O29" s="1302">
        <v>0</v>
      </c>
      <c r="P29" s="1301">
        <v>0</v>
      </c>
      <c r="Q29" s="1355">
        <v>0</v>
      </c>
      <c r="X29" s="5"/>
      <c r="Y29" s="5"/>
      <c r="Z29" s="5"/>
      <c r="AA29" s="5"/>
      <c r="AB29" s="5"/>
      <c r="AC29" s="5"/>
      <c r="AD29" s="5"/>
      <c r="AE29" s="5"/>
      <c r="AF29" s="5"/>
      <c r="AG29" s="5"/>
      <c r="AH29" s="5"/>
      <c r="AI29" s="5"/>
      <c r="AJ29" s="5"/>
      <c r="AK29" s="5"/>
      <c r="AL29" s="5"/>
    </row>
    <row r="30" spans="1:46" s="6" customFormat="1" ht="15" customHeight="1">
      <c r="A30" s="1749"/>
      <c r="B30" s="1376" t="s">
        <v>710</v>
      </c>
      <c r="C30" s="1377">
        <f t="shared" si="16"/>
        <v>0</v>
      </c>
      <c r="D30" s="1333">
        <v>0</v>
      </c>
      <c r="E30" s="1334">
        <v>0</v>
      </c>
      <c r="F30" s="1377">
        <f>SUM(G30:H30)</f>
        <v>0</v>
      </c>
      <c r="G30" s="1320"/>
      <c r="H30" s="1321"/>
      <c r="I30" s="1377">
        <f>SUM(J30:K30)</f>
        <v>0</v>
      </c>
      <c r="J30" s="1303"/>
      <c r="K30" s="1358"/>
      <c r="L30" s="1378">
        <f>SUM(M30:N30)</f>
        <v>0</v>
      </c>
      <c r="M30" s="1303"/>
      <c r="N30" s="1357"/>
      <c r="O30" s="1379">
        <f>SUM(P30:Q30)</f>
        <v>0</v>
      </c>
      <c r="P30" s="1303"/>
      <c r="Q30" s="1357"/>
      <c r="R30" s="6" t="str">
        <f t="shared" si="0"/>
        <v/>
      </c>
      <c r="X30" s="5"/>
      <c r="Y30" s="5"/>
      <c r="Z30" s="5"/>
      <c r="AA30" s="5"/>
      <c r="AB30" s="5"/>
      <c r="AC30" s="5"/>
      <c r="AD30" s="5"/>
      <c r="AE30" s="5"/>
      <c r="AF30" s="5"/>
      <c r="AG30" s="5"/>
      <c r="AH30" s="5"/>
      <c r="AI30" s="5"/>
      <c r="AJ30" s="142" t="str">
        <f t="shared" ref="AJ30:AJ33" si="24">IF(AND(D30&gt;0,OR(M30=""))," * No olvide digitar la variable Pueblos Originarios Hombres. Digite Cero si no tiene.",IF(M30&gt;D30," * La variable Pueblos Originarios Hombres no puede ser Mayor al Total Hombres.",""))</f>
        <v/>
      </c>
      <c r="AK30" s="142" t="str">
        <f t="shared" ref="AK30:AK33" si="25">IF(AND(E30&gt;0,OR(N30=""))," * No olvide digitar la variable Pueblos Originarios Mujeres. Digite Cero si no tiene.",IF(N30&gt;E30," * La variable Pueblos Originarios Mujeres no puede ser Mayor al Total Mujeres.",""))</f>
        <v/>
      </c>
      <c r="AL30" s="142" t="str">
        <f t="shared" ref="AL30:AL33" si="26">IF(AND($D30&gt;0,OR(P30=""))," * No olvide digitar la variable Migrantes Hombres. Digite Cero si no tiene.",IF(P30&gt;$D30," * La variable Migrantes Hombres no puede ser Mayor al Total Hombres.",""))</f>
        <v/>
      </c>
      <c r="AM30" s="1359" t="str">
        <f>IF(AND($E30&gt;0,OR(Q30=""))," * No olvide digitar la variable Migrantes Mujeres. Digite Cero si no tiene.",IF(Q30&gt;$E30," * La variable Migrantes Mujeres no puede ser Mayor al Total Mujeres.",""))</f>
        <v/>
      </c>
      <c r="AN30" s="5"/>
      <c r="AO30" s="5"/>
      <c r="AP30" s="5"/>
      <c r="AQ30" s="34">
        <f t="shared" ref="AQ30:AQ33" si="27">IF(AND($D30&gt;0,OR(M30="")),1,IF(M30&gt;$D30,1,0))</f>
        <v>0</v>
      </c>
      <c r="AR30" s="34">
        <f t="shared" ref="AR30:AR33" si="28">IF(AND($E30&gt;0,OR(N30="")),1,IF(N30&gt;$E30,1,0))</f>
        <v>0</v>
      </c>
      <c r="AS30" s="34">
        <f t="shared" ref="AS30:AS33" si="29">IF(AND($D30&gt;0,OR(P30="")),1,IF(P30&gt;$D30,1,0))</f>
        <v>0</v>
      </c>
      <c r="AT30" s="34">
        <f t="shared" ref="AT30:AT33" si="30">IF(AND($E30&gt;0,OR(Q30="")),1,IF(Q30&gt;$E30,1,0))</f>
        <v>0</v>
      </c>
    </row>
    <row r="31" spans="1:46" s="6" customFormat="1" ht="15" customHeight="1">
      <c r="A31" s="2305" t="s">
        <v>711</v>
      </c>
      <c r="B31" s="419" t="s">
        <v>712</v>
      </c>
      <c r="C31" s="1361">
        <f t="shared" si="16"/>
        <v>0</v>
      </c>
      <c r="D31" s="1311">
        <v>0</v>
      </c>
      <c r="E31" s="1312">
        <v>0</v>
      </c>
      <c r="F31" s="1361">
        <f>SUM(G31:H31)</f>
        <v>0</v>
      </c>
      <c r="G31" s="1313"/>
      <c r="H31" s="1314"/>
      <c r="I31" s="1380">
        <f>SUM(J31:K31)</f>
        <v>0</v>
      </c>
      <c r="J31" s="1313"/>
      <c r="K31" s="1371"/>
      <c r="L31" s="1381">
        <f>SUM(M31:N31)</f>
        <v>0</v>
      </c>
      <c r="M31" s="1313"/>
      <c r="N31" s="1314"/>
      <c r="O31" s="1382">
        <f>SUM(P31:Q31)</f>
        <v>0</v>
      </c>
      <c r="P31" s="1313"/>
      <c r="Q31" s="1314"/>
      <c r="R31" s="6" t="str">
        <f t="shared" si="0"/>
        <v/>
      </c>
      <c r="X31" s="5"/>
      <c r="Y31" s="5"/>
      <c r="Z31" s="5"/>
      <c r="AA31" s="5"/>
      <c r="AB31" s="5"/>
      <c r="AC31" s="5"/>
      <c r="AD31" s="5"/>
      <c r="AE31" s="5"/>
      <c r="AF31" s="5"/>
      <c r="AG31" s="5"/>
      <c r="AH31" s="5"/>
      <c r="AI31" s="5"/>
      <c r="AJ31" s="142" t="str">
        <f t="shared" si="24"/>
        <v/>
      </c>
      <c r="AK31" s="142" t="str">
        <f t="shared" si="25"/>
        <v/>
      </c>
      <c r="AL31" s="142" t="str">
        <f t="shared" si="26"/>
        <v/>
      </c>
      <c r="AM31" s="1359" t="str">
        <f>IF(AND($E31&gt;0,OR(Q31=""))," * No olvide digitar la variable Migrantes Mujeres. Digite Cero si no tiene.",IF(Q31&gt;$E31," * La variable Migrantes Mujeres no puede ser Mayor al Total Mujeres.",""))</f>
        <v/>
      </c>
      <c r="AN31" s="5"/>
      <c r="AO31" s="5"/>
      <c r="AP31" s="5"/>
      <c r="AQ31" s="34">
        <f t="shared" si="27"/>
        <v>0</v>
      </c>
      <c r="AR31" s="34">
        <f t="shared" si="28"/>
        <v>0</v>
      </c>
      <c r="AS31" s="34">
        <f t="shared" si="29"/>
        <v>0</v>
      </c>
      <c r="AT31" s="34">
        <f t="shared" si="30"/>
        <v>0</v>
      </c>
    </row>
    <row r="32" spans="1:46" s="6" customFormat="1" ht="15" customHeight="1">
      <c r="A32" s="1748"/>
      <c r="B32" s="1383" t="s">
        <v>713</v>
      </c>
      <c r="C32" s="1384">
        <f t="shared" si="16"/>
        <v>0</v>
      </c>
      <c r="D32" s="1319">
        <v>0</v>
      </c>
      <c r="E32" s="1312">
        <v>0</v>
      </c>
      <c r="F32" s="1384">
        <f>SUM(G32:H32)</f>
        <v>0</v>
      </c>
      <c r="G32" s="1320"/>
      <c r="H32" s="1321"/>
      <c r="I32" s="1384">
        <f>SUM(J32:K32)</f>
        <v>0</v>
      </c>
      <c r="J32" s="1320"/>
      <c r="K32" s="1385"/>
      <c r="L32" s="1386">
        <f>SUM(M32:N32)</f>
        <v>0</v>
      </c>
      <c r="M32" s="1320"/>
      <c r="N32" s="1321"/>
      <c r="O32" s="1387">
        <f>SUM(P32:Q32)</f>
        <v>0</v>
      </c>
      <c r="P32" s="1320"/>
      <c r="Q32" s="1321"/>
      <c r="R32" s="6" t="str">
        <f t="shared" si="0"/>
        <v/>
      </c>
      <c r="X32" s="5"/>
      <c r="Y32" s="5"/>
      <c r="Z32" s="5"/>
      <c r="AA32" s="5"/>
      <c r="AB32" s="5"/>
      <c r="AC32" s="5"/>
      <c r="AD32" s="5"/>
      <c r="AE32" s="5"/>
      <c r="AF32" s="5"/>
      <c r="AG32" s="5"/>
      <c r="AH32" s="5"/>
      <c r="AI32" s="5"/>
      <c r="AJ32" s="142" t="str">
        <f t="shared" si="24"/>
        <v/>
      </c>
      <c r="AK32" s="142" t="str">
        <f t="shared" si="25"/>
        <v/>
      </c>
      <c r="AL32" s="142" t="str">
        <f t="shared" si="26"/>
        <v/>
      </c>
      <c r="AM32" s="1359" t="str">
        <f>IF(AND($E32&gt;0,OR(Q32=""))," * No olvide digitar la variable Migrantes Mujeres. Digite Cero si no tiene.",IF(Q32&gt;$E32," * La variable Migrantes Mujeres no puede ser Mayor al Total Mujeres.",""))</f>
        <v/>
      </c>
      <c r="AN32" s="5"/>
      <c r="AO32" s="5"/>
      <c r="AP32" s="5"/>
      <c r="AQ32" s="34">
        <f t="shared" si="27"/>
        <v>0</v>
      </c>
      <c r="AR32" s="34">
        <f t="shared" si="28"/>
        <v>0</v>
      </c>
      <c r="AS32" s="34">
        <f t="shared" si="29"/>
        <v>0</v>
      </c>
      <c r="AT32" s="34">
        <f t="shared" si="30"/>
        <v>0</v>
      </c>
    </row>
    <row r="33" spans="1:46" s="6" customFormat="1" ht="15" customHeight="1">
      <c r="A33" s="1748"/>
      <c r="B33" s="2444" t="s">
        <v>776</v>
      </c>
      <c r="C33" s="1364">
        <f t="shared" si="16"/>
        <v>0</v>
      </c>
      <c r="D33" s="1345">
        <v>0</v>
      </c>
      <c r="E33" s="1346">
        <v>0</v>
      </c>
      <c r="F33" s="1364">
        <f>SUM(G33:H33)</f>
        <v>0</v>
      </c>
      <c r="G33" s="1328"/>
      <c r="H33" s="1329"/>
      <c r="I33" s="1365">
        <f>SUM(J33:K33)</f>
        <v>0</v>
      </c>
      <c r="J33" s="1328"/>
      <c r="K33" s="1366"/>
      <c r="L33" s="1367">
        <f>SUM(M33:N33)</f>
        <v>0</v>
      </c>
      <c r="M33" s="1328"/>
      <c r="N33" s="1329"/>
      <c r="O33" s="1368">
        <f>SUM(P33:Q33)</f>
        <v>0</v>
      </c>
      <c r="P33" s="1328"/>
      <c r="Q33" s="1329"/>
      <c r="R33" s="6" t="str">
        <f t="shared" si="0"/>
        <v/>
      </c>
      <c r="X33" s="5"/>
      <c r="Y33" s="5"/>
      <c r="Z33" s="5"/>
      <c r="AA33" s="5"/>
      <c r="AB33" s="5"/>
      <c r="AC33" s="5"/>
      <c r="AD33" s="5"/>
      <c r="AE33" s="5"/>
      <c r="AF33" s="5"/>
      <c r="AG33" s="5"/>
      <c r="AH33" s="5"/>
      <c r="AI33" s="5"/>
      <c r="AJ33" s="142" t="str">
        <f t="shared" si="24"/>
        <v/>
      </c>
      <c r="AK33" s="142" t="str">
        <f t="shared" si="25"/>
        <v/>
      </c>
      <c r="AL33" s="142" t="str">
        <f t="shared" si="26"/>
        <v/>
      </c>
      <c r="AM33" s="1359" t="str">
        <f>IF(AND($E33&gt;0,OR(Q33=""))," * No olvide digitar la variable Migrantes Mujeres. Digite Cero si no tiene.",IF(Q33&gt;$E33," * La variable Migrantes Mujeres no puede ser Mayor al Total Mujeres.",""))</f>
        <v/>
      </c>
      <c r="AN33" s="5"/>
      <c r="AO33" s="5"/>
      <c r="AP33" s="5"/>
      <c r="AQ33" s="34">
        <f t="shared" si="27"/>
        <v>0</v>
      </c>
      <c r="AR33" s="34">
        <f t="shared" si="28"/>
        <v>0</v>
      </c>
      <c r="AS33" s="34">
        <f t="shared" si="29"/>
        <v>0</v>
      </c>
      <c r="AT33" s="34">
        <f t="shared" si="30"/>
        <v>0</v>
      </c>
    </row>
    <row r="34" spans="1:46" s="6" customFormat="1" ht="15" customHeight="1">
      <c r="A34" s="1749"/>
      <c r="B34" s="1388" t="s">
        <v>5</v>
      </c>
      <c r="C34" s="1300">
        <v>0</v>
      </c>
      <c r="D34" s="1301">
        <v>0</v>
      </c>
      <c r="E34" s="1302">
        <v>0</v>
      </c>
      <c r="F34" s="1300">
        <v>0</v>
      </c>
      <c r="G34" s="1301">
        <v>0</v>
      </c>
      <c r="H34" s="1302">
        <v>0</v>
      </c>
      <c r="I34" s="1300">
        <v>0</v>
      </c>
      <c r="J34" s="1301">
        <v>0</v>
      </c>
      <c r="K34" s="1389">
        <v>0</v>
      </c>
      <c r="L34" s="1354">
        <v>0</v>
      </c>
      <c r="M34" s="1301">
        <v>0</v>
      </c>
      <c r="N34" s="1302">
        <v>0</v>
      </c>
      <c r="O34" s="1302">
        <v>0</v>
      </c>
      <c r="P34" s="1301">
        <v>0</v>
      </c>
      <c r="Q34" s="1355">
        <v>0</v>
      </c>
      <c r="X34" s="5"/>
      <c r="Y34" s="5"/>
      <c r="Z34" s="5"/>
      <c r="AA34" s="5"/>
      <c r="AB34" s="5"/>
      <c r="AC34" s="5"/>
      <c r="AD34" s="5"/>
      <c r="AE34" s="5"/>
      <c r="AF34" s="5"/>
      <c r="AG34" s="5"/>
      <c r="AH34" s="5"/>
      <c r="AI34" s="5"/>
      <c r="AJ34" s="5"/>
      <c r="AK34" s="5"/>
      <c r="AL34" s="5"/>
    </row>
    <row r="35" spans="1:46" s="6" customFormat="1" ht="15" customHeight="1">
      <c r="A35" s="1748" t="s">
        <v>714</v>
      </c>
      <c r="B35" s="1390" t="s">
        <v>715</v>
      </c>
      <c r="C35" s="1361">
        <f t="shared" si="16"/>
        <v>0</v>
      </c>
      <c r="D35" s="1311">
        <v>0</v>
      </c>
      <c r="E35" s="1312">
        <v>0</v>
      </c>
      <c r="F35" s="1361">
        <f t="shared" ref="F35:F40" si="31">SUM(G35:H35)</f>
        <v>0</v>
      </c>
      <c r="G35" s="1320"/>
      <c r="H35" s="1321"/>
      <c r="I35" s="1380">
        <f t="shared" ref="I35:I40" si="32">SUM(J35:K35)</f>
        <v>0</v>
      </c>
      <c r="J35" s="1320"/>
      <c r="K35" s="1391"/>
      <c r="L35" s="1381">
        <f t="shared" ref="L35:L40" si="33">SUM(M35:N35)</f>
        <v>0</v>
      </c>
      <c r="M35" s="1320"/>
      <c r="N35" s="1314"/>
      <c r="O35" s="1382">
        <f t="shared" ref="O35:O40" si="34">SUM(P35:Q35)</f>
        <v>0</v>
      </c>
      <c r="P35" s="1320"/>
      <c r="Q35" s="1321"/>
      <c r="R35" s="6" t="str">
        <f t="shared" si="0"/>
        <v/>
      </c>
      <c r="X35" s="5"/>
      <c r="Y35" s="5"/>
      <c r="Z35" s="5"/>
      <c r="AA35" s="5"/>
      <c r="AB35" s="5"/>
      <c r="AC35" s="5"/>
      <c r="AD35" s="5"/>
      <c r="AE35" s="5"/>
      <c r="AF35" s="5"/>
      <c r="AG35" s="5"/>
      <c r="AH35" s="5"/>
      <c r="AI35" s="5"/>
      <c r="AJ35" s="142" t="str">
        <f t="shared" ref="AJ35:AJ40" si="35">IF(AND(D35&gt;0,OR(M35=""))," * No olvide digitar la variable Pueblos Originarios Hombres. Digite Cero si no tiene.",IF(M35&gt;D35," * La variable Pueblos Originarios Hombres no puede ser Mayor al Total Hombres.",""))</f>
        <v/>
      </c>
      <c r="AK35" s="142" t="str">
        <f t="shared" ref="AK35:AK40" si="36">IF(AND(E35&gt;0,OR(N35=""))," * No olvide digitar la variable Pueblos Originarios Mujeres. Digite Cero si no tiene.",IF(N35&gt;E35," * La variable Pueblos Originarios Mujeres no puede ser Mayor al Total Mujeres.",""))</f>
        <v/>
      </c>
      <c r="AL35" s="142" t="str">
        <f t="shared" ref="AL35:AL40" si="37">IF(AND($D35&gt;0,OR(P35=""))," * No olvide digitar la variable Migrantes Hombres. Digite Cero si no tiene.",IF(P35&gt;$D35," * La variable Migrantes Hombres no puede ser Mayor al Total Hombres.",""))</f>
        <v/>
      </c>
      <c r="AM35" s="1359" t="str">
        <f t="shared" ref="AM35:AM40" si="38">IF(AND($E35&gt;0,OR(Q35=""))," * No olvide digitar la variable Migrantes Mujeres. Digite Cero si no tiene.",IF(Q35&gt;$E35," * La variable Migrantes Mujeres no puede ser Mayor al Total Mujeres.",""))</f>
        <v/>
      </c>
      <c r="AN35" s="5"/>
      <c r="AO35" s="5"/>
      <c r="AP35" s="5"/>
      <c r="AQ35" s="34">
        <f t="shared" ref="AQ35:AQ40" si="39">IF(AND($D35&gt;0,OR(M35="")),1,IF(M35&gt;$D35,1,0))</f>
        <v>0</v>
      </c>
      <c r="AR35" s="34">
        <f t="shared" ref="AR35:AR40" si="40">IF(AND($E35&gt;0,OR(N35="")),1,IF(N35&gt;$E35,1,0))</f>
        <v>0</v>
      </c>
      <c r="AS35" s="34">
        <f t="shared" ref="AS35:AS40" si="41">IF(AND($D35&gt;0,OR(P35="")),1,IF(P35&gt;$D35,1,0))</f>
        <v>0</v>
      </c>
      <c r="AT35" s="34">
        <f t="shared" ref="AT35:AT40" si="42">IF(AND($E35&gt;0,OR(Q35="")),1,IF(Q35&gt;$E35,1,0))</f>
        <v>0</v>
      </c>
    </row>
    <row r="36" spans="1:46" s="6" customFormat="1" ht="15" customHeight="1">
      <c r="A36" s="1748"/>
      <c r="B36" s="386" t="s">
        <v>716</v>
      </c>
      <c r="C36" s="1384">
        <f t="shared" si="16"/>
        <v>0</v>
      </c>
      <c r="D36" s="1319">
        <v>0</v>
      </c>
      <c r="E36" s="1312">
        <v>0</v>
      </c>
      <c r="F36" s="1384">
        <f t="shared" si="31"/>
        <v>0</v>
      </c>
      <c r="G36" s="1320"/>
      <c r="H36" s="1321"/>
      <c r="I36" s="1384">
        <f t="shared" si="32"/>
        <v>0</v>
      </c>
      <c r="J36" s="1320"/>
      <c r="K36" s="1391"/>
      <c r="L36" s="1386">
        <f t="shared" si="33"/>
        <v>0</v>
      </c>
      <c r="M36" s="1320"/>
      <c r="N36" s="1321"/>
      <c r="O36" s="1387">
        <f t="shared" si="34"/>
        <v>0</v>
      </c>
      <c r="P36" s="1320"/>
      <c r="Q36" s="1321"/>
      <c r="R36" s="6" t="str">
        <f t="shared" si="0"/>
        <v/>
      </c>
      <c r="X36" s="5"/>
      <c r="Y36" s="5"/>
      <c r="Z36" s="5"/>
      <c r="AA36" s="5"/>
      <c r="AB36" s="5"/>
      <c r="AC36" s="5"/>
      <c r="AD36" s="5"/>
      <c r="AE36" s="5"/>
      <c r="AF36" s="5"/>
      <c r="AG36" s="5"/>
      <c r="AH36" s="5"/>
      <c r="AI36" s="5"/>
      <c r="AJ36" s="142" t="str">
        <f t="shared" si="35"/>
        <v/>
      </c>
      <c r="AK36" s="142" t="str">
        <f t="shared" si="36"/>
        <v/>
      </c>
      <c r="AL36" s="142" t="str">
        <f t="shared" si="37"/>
        <v/>
      </c>
      <c r="AM36" s="1359" t="str">
        <f t="shared" si="38"/>
        <v/>
      </c>
      <c r="AN36" s="5"/>
      <c r="AO36" s="5"/>
      <c r="AP36" s="5"/>
      <c r="AQ36" s="34">
        <f t="shared" si="39"/>
        <v>0</v>
      </c>
      <c r="AR36" s="34">
        <f t="shared" si="40"/>
        <v>0</v>
      </c>
      <c r="AS36" s="34">
        <f t="shared" si="41"/>
        <v>0</v>
      </c>
      <c r="AT36" s="34">
        <f t="shared" si="42"/>
        <v>0</v>
      </c>
    </row>
    <row r="37" spans="1:46" s="6" customFormat="1" ht="15" customHeight="1">
      <c r="A37" s="1748"/>
      <c r="B37" s="1383" t="s">
        <v>717</v>
      </c>
      <c r="C37" s="1384">
        <f t="shared" si="16"/>
        <v>0</v>
      </c>
      <c r="D37" s="1319">
        <v>0</v>
      </c>
      <c r="E37" s="1312">
        <v>0</v>
      </c>
      <c r="F37" s="1384">
        <f t="shared" si="31"/>
        <v>0</v>
      </c>
      <c r="G37" s="1320"/>
      <c r="H37" s="1321"/>
      <c r="I37" s="1384">
        <f t="shared" si="32"/>
        <v>0</v>
      </c>
      <c r="J37" s="1320"/>
      <c r="K37" s="1391"/>
      <c r="L37" s="1386">
        <f t="shared" si="33"/>
        <v>0</v>
      </c>
      <c r="M37" s="1320"/>
      <c r="N37" s="1321"/>
      <c r="O37" s="1387">
        <f t="shared" si="34"/>
        <v>0</v>
      </c>
      <c r="P37" s="1320"/>
      <c r="Q37" s="1321"/>
      <c r="R37" s="6" t="str">
        <f t="shared" si="0"/>
        <v/>
      </c>
      <c r="X37" s="5"/>
      <c r="Y37" s="5"/>
      <c r="Z37" s="5"/>
      <c r="AA37" s="5"/>
      <c r="AB37" s="5"/>
      <c r="AC37" s="5"/>
      <c r="AD37" s="5"/>
      <c r="AE37" s="5"/>
      <c r="AF37" s="5"/>
      <c r="AG37" s="5"/>
      <c r="AH37" s="5"/>
      <c r="AI37" s="5"/>
      <c r="AJ37" s="142" t="str">
        <f t="shared" si="35"/>
        <v/>
      </c>
      <c r="AK37" s="142" t="str">
        <f t="shared" si="36"/>
        <v/>
      </c>
      <c r="AL37" s="142" t="str">
        <f t="shared" si="37"/>
        <v/>
      </c>
      <c r="AM37" s="1359" t="str">
        <f t="shared" si="38"/>
        <v/>
      </c>
      <c r="AN37" s="5"/>
      <c r="AO37" s="5"/>
      <c r="AP37" s="5"/>
      <c r="AQ37" s="34">
        <f t="shared" si="39"/>
        <v>0</v>
      </c>
      <c r="AR37" s="34">
        <f t="shared" si="40"/>
        <v>0</v>
      </c>
      <c r="AS37" s="34">
        <f t="shared" si="41"/>
        <v>0</v>
      </c>
      <c r="AT37" s="34">
        <f t="shared" si="42"/>
        <v>0</v>
      </c>
    </row>
    <row r="38" spans="1:46" s="6" customFormat="1" ht="15" customHeight="1">
      <c r="A38" s="1748"/>
      <c r="B38" s="386" t="s">
        <v>549</v>
      </c>
      <c r="C38" s="1384">
        <f t="shared" si="16"/>
        <v>0</v>
      </c>
      <c r="D38" s="1319">
        <v>0</v>
      </c>
      <c r="E38" s="1312">
        <v>0</v>
      </c>
      <c r="F38" s="1384">
        <f t="shared" si="31"/>
        <v>0</v>
      </c>
      <c r="G38" s="1320"/>
      <c r="H38" s="1321"/>
      <c r="I38" s="1384">
        <f t="shared" si="32"/>
        <v>0</v>
      </c>
      <c r="J38" s="1320"/>
      <c r="K38" s="1391"/>
      <c r="L38" s="1386">
        <f t="shared" si="33"/>
        <v>0</v>
      </c>
      <c r="M38" s="1320"/>
      <c r="N38" s="1321"/>
      <c r="O38" s="1387">
        <f t="shared" si="34"/>
        <v>0</v>
      </c>
      <c r="P38" s="1320"/>
      <c r="Q38" s="1321"/>
      <c r="R38" s="6" t="str">
        <f t="shared" si="0"/>
        <v/>
      </c>
      <c r="X38" s="5"/>
      <c r="Y38" s="5"/>
      <c r="Z38" s="5"/>
      <c r="AA38" s="5"/>
      <c r="AB38" s="5"/>
      <c r="AC38" s="5"/>
      <c r="AD38" s="5"/>
      <c r="AE38" s="5"/>
      <c r="AF38" s="5"/>
      <c r="AG38" s="5"/>
      <c r="AH38" s="5"/>
      <c r="AI38" s="5"/>
      <c r="AJ38" s="142" t="str">
        <f t="shared" si="35"/>
        <v/>
      </c>
      <c r="AK38" s="142" t="str">
        <f t="shared" si="36"/>
        <v/>
      </c>
      <c r="AL38" s="142" t="str">
        <f t="shared" si="37"/>
        <v/>
      </c>
      <c r="AM38" s="1359" t="str">
        <f t="shared" si="38"/>
        <v/>
      </c>
      <c r="AN38" s="5"/>
      <c r="AO38" s="5"/>
      <c r="AP38" s="5"/>
      <c r="AQ38" s="34">
        <f t="shared" si="39"/>
        <v>0</v>
      </c>
      <c r="AR38" s="34">
        <f t="shared" si="40"/>
        <v>0</v>
      </c>
      <c r="AS38" s="34">
        <f t="shared" si="41"/>
        <v>0</v>
      </c>
      <c r="AT38" s="34">
        <f t="shared" si="42"/>
        <v>0</v>
      </c>
    </row>
    <row r="39" spans="1:46" s="6" customFormat="1" ht="15" customHeight="1">
      <c r="A39" s="1748"/>
      <c r="B39" s="386" t="s">
        <v>718</v>
      </c>
      <c r="C39" s="1384">
        <f t="shared" si="16"/>
        <v>0</v>
      </c>
      <c r="D39" s="1319">
        <v>0</v>
      </c>
      <c r="E39" s="1312">
        <v>0</v>
      </c>
      <c r="F39" s="1384">
        <f t="shared" si="31"/>
        <v>0</v>
      </c>
      <c r="G39" s="1320"/>
      <c r="H39" s="1321"/>
      <c r="I39" s="1384">
        <f t="shared" si="32"/>
        <v>0</v>
      </c>
      <c r="J39" s="1320"/>
      <c r="K39" s="1391"/>
      <c r="L39" s="1386">
        <f t="shared" si="33"/>
        <v>0</v>
      </c>
      <c r="M39" s="1320"/>
      <c r="N39" s="1321"/>
      <c r="O39" s="1387">
        <f t="shared" si="34"/>
        <v>0</v>
      </c>
      <c r="P39" s="1320"/>
      <c r="Q39" s="1321"/>
      <c r="R39" s="6" t="str">
        <f t="shared" si="0"/>
        <v/>
      </c>
      <c r="X39" s="5"/>
      <c r="Y39" s="5"/>
      <c r="Z39" s="5"/>
      <c r="AA39" s="5"/>
      <c r="AB39" s="5"/>
      <c r="AC39" s="5"/>
      <c r="AD39" s="5"/>
      <c r="AE39" s="5"/>
      <c r="AF39" s="5"/>
      <c r="AG39" s="5"/>
      <c r="AH39" s="5"/>
      <c r="AI39" s="5"/>
      <c r="AJ39" s="142" t="str">
        <f t="shared" si="35"/>
        <v/>
      </c>
      <c r="AK39" s="142" t="str">
        <f t="shared" si="36"/>
        <v/>
      </c>
      <c r="AL39" s="142" t="str">
        <f t="shared" si="37"/>
        <v/>
      </c>
      <c r="AM39" s="1359" t="str">
        <f t="shared" si="38"/>
        <v/>
      </c>
      <c r="AN39" s="5"/>
      <c r="AO39" s="5"/>
      <c r="AP39" s="5"/>
      <c r="AQ39" s="34">
        <f t="shared" si="39"/>
        <v>0</v>
      </c>
      <c r="AR39" s="34">
        <f t="shared" si="40"/>
        <v>0</v>
      </c>
      <c r="AS39" s="34">
        <f t="shared" si="41"/>
        <v>0</v>
      </c>
      <c r="AT39" s="34">
        <f t="shared" si="42"/>
        <v>0</v>
      </c>
    </row>
    <row r="40" spans="1:46" s="6" customFormat="1" ht="15" customHeight="1">
      <c r="A40" s="1748"/>
      <c r="B40" s="399" t="s">
        <v>719</v>
      </c>
      <c r="C40" s="1364">
        <f t="shared" si="16"/>
        <v>0</v>
      </c>
      <c r="D40" s="1345">
        <v>0</v>
      </c>
      <c r="E40" s="1346">
        <v>0</v>
      </c>
      <c r="F40" s="1364">
        <f t="shared" si="31"/>
        <v>0</v>
      </c>
      <c r="G40" s="1320"/>
      <c r="H40" s="1321"/>
      <c r="I40" s="1365">
        <f t="shared" si="32"/>
        <v>0</v>
      </c>
      <c r="J40" s="1320"/>
      <c r="K40" s="1391"/>
      <c r="L40" s="1367">
        <f t="shared" si="33"/>
        <v>0</v>
      </c>
      <c r="M40" s="1320"/>
      <c r="N40" s="1329"/>
      <c r="O40" s="1368">
        <f t="shared" si="34"/>
        <v>0</v>
      </c>
      <c r="P40" s="1320"/>
      <c r="Q40" s="1321"/>
      <c r="R40" s="6" t="str">
        <f t="shared" si="0"/>
        <v/>
      </c>
      <c r="X40" s="5"/>
      <c r="Y40" s="5"/>
      <c r="Z40" s="5"/>
      <c r="AA40" s="5"/>
      <c r="AB40" s="5"/>
      <c r="AC40" s="5"/>
      <c r="AD40" s="5"/>
      <c r="AE40" s="5"/>
      <c r="AF40" s="5"/>
      <c r="AG40" s="5"/>
      <c r="AH40" s="5"/>
      <c r="AI40" s="5"/>
      <c r="AJ40" s="142" t="str">
        <f t="shared" si="35"/>
        <v/>
      </c>
      <c r="AK40" s="142" t="str">
        <f t="shared" si="36"/>
        <v/>
      </c>
      <c r="AL40" s="142" t="str">
        <f t="shared" si="37"/>
        <v/>
      </c>
      <c r="AM40" s="1359" t="str">
        <f t="shared" si="38"/>
        <v/>
      </c>
      <c r="AN40" s="5"/>
      <c r="AO40" s="5"/>
      <c r="AP40" s="5"/>
      <c r="AQ40" s="34">
        <f t="shared" si="39"/>
        <v>0</v>
      </c>
      <c r="AR40" s="34">
        <f t="shared" si="40"/>
        <v>0</v>
      </c>
      <c r="AS40" s="34">
        <f t="shared" si="41"/>
        <v>0</v>
      </c>
      <c r="AT40" s="34">
        <f t="shared" si="42"/>
        <v>0</v>
      </c>
    </row>
    <row r="41" spans="1:46" s="6" customFormat="1" ht="15" customHeight="1">
      <c r="A41" s="1748"/>
      <c r="B41" s="1392" t="s">
        <v>720</v>
      </c>
      <c r="C41" s="1300">
        <v>0</v>
      </c>
      <c r="D41" s="1301">
        <v>0</v>
      </c>
      <c r="E41" s="1302">
        <v>0</v>
      </c>
      <c r="F41" s="1300">
        <v>0</v>
      </c>
      <c r="G41" s="1301">
        <v>0</v>
      </c>
      <c r="H41" s="1302">
        <v>0</v>
      </c>
      <c r="I41" s="1300">
        <v>0</v>
      </c>
      <c r="J41" s="1301">
        <v>0</v>
      </c>
      <c r="K41" s="1393">
        <v>0</v>
      </c>
      <c r="L41" s="1354">
        <v>0</v>
      </c>
      <c r="M41" s="1301">
        <v>0</v>
      </c>
      <c r="N41" s="1355">
        <v>0</v>
      </c>
      <c r="O41" s="1302">
        <v>0</v>
      </c>
      <c r="P41" s="1301">
        <v>0</v>
      </c>
      <c r="Q41" s="1355">
        <v>0</v>
      </c>
      <c r="X41" s="5"/>
      <c r="Y41" s="5"/>
      <c r="Z41" s="5"/>
      <c r="AA41" s="5"/>
      <c r="AB41" s="5"/>
      <c r="AC41" s="5"/>
      <c r="AD41" s="5"/>
      <c r="AE41" s="5"/>
      <c r="AF41" s="5"/>
      <c r="AG41" s="5"/>
      <c r="AH41" s="5"/>
      <c r="AI41" s="5"/>
      <c r="AJ41" s="5"/>
      <c r="AK41" s="5"/>
      <c r="AL41" s="5"/>
    </row>
    <row r="42" spans="1:46" s="6" customFormat="1" ht="15" customHeight="1">
      <c r="A42" s="1748"/>
      <c r="B42" s="1394" t="s">
        <v>721</v>
      </c>
      <c r="C42" s="1395">
        <f t="shared" si="16"/>
        <v>0</v>
      </c>
      <c r="D42" s="1396">
        <v>0</v>
      </c>
      <c r="E42" s="1346">
        <v>0</v>
      </c>
      <c r="F42" s="1397">
        <f>SUM(G42:H42)</f>
        <v>0</v>
      </c>
      <c r="G42" s="1398"/>
      <c r="H42" s="1399"/>
      <c r="I42" s="1397">
        <f>SUM(J42:K42)</f>
        <v>0</v>
      </c>
      <c r="J42" s="1398"/>
      <c r="K42" s="1400"/>
      <c r="L42" s="1401">
        <f>SUM(M42:N42)</f>
        <v>0</v>
      </c>
      <c r="M42" s="1398"/>
      <c r="N42" s="1399"/>
      <c r="O42" s="1402">
        <f>SUM(P42:Q42)</f>
        <v>0</v>
      </c>
      <c r="P42" s="1398"/>
      <c r="Q42" s="1399"/>
      <c r="R42" s="6" t="str">
        <f>AJ42&amp;AK42&amp;AL42&amp;AM42</f>
        <v/>
      </c>
      <c r="X42" s="5"/>
      <c r="Y42" s="5"/>
      <c r="Z42" s="5"/>
      <c r="AA42" s="5"/>
      <c r="AB42" s="5"/>
      <c r="AC42" s="5"/>
      <c r="AD42" s="5"/>
      <c r="AE42" s="5"/>
      <c r="AF42" s="5"/>
      <c r="AG42" s="5"/>
      <c r="AH42" s="5"/>
      <c r="AI42" s="5"/>
      <c r="AJ42" s="142" t="str">
        <f>IF(AND(D42&gt;0,OR(M42=""))," * No olvide digitar la variable Pueblos Originarios Hombres. Digite Cero si no tiene.",IF(M42&gt;D42," * La variable Pueblos Originarios Hombres no puede ser Mayor al Total Hombres.",""))</f>
        <v/>
      </c>
      <c r="AK42" s="142" t="str">
        <f>IF(AND(E42&gt;0,OR(N42=""))," * No olvide digitar la variable Pueblos Originarios Mujeres. Digite Cero si no tiene.",IF(N42&gt;E42," * La variable Pueblos Originarios Mujeres no puede ser Mayor al Total Mujeres.",""))</f>
        <v/>
      </c>
      <c r="AL42" s="142" t="str">
        <f>IF(AND($D42&gt;0,OR(P42=""))," * No olvide digitar la variable Migrantes Hombres. Digite Cero si no tiene.",IF(P42&gt;$D42," * La variable Migrantes Hombres no puede ser Mayor al Total Hombres.",""))</f>
        <v/>
      </c>
      <c r="AM42" s="1359" t="str">
        <f>IF(AND($E42&gt;0,OR(Q42=""))," * No olvide digitar la variable Migrantes Mujeres. Digite Cero si no tiene.",IF(Q42&gt;$E42," * La variable Migrantes Mujeres no puede ser Mayor al Total Mujeres.",""))</f>
        <v/>
      </c>
      <c r="AN42" s="5"/>
      <c r="AO42" s="5"/>
      <c r="AP42" s="5"/>
      <c r="AQ42" s="34">
        <f>IF(AND($D42&gt;0,OR(M42="")),1,IF(M42&gt;$D42,1,0))</f>
        <v>0</v>
      </c>
      <c r="AR42" s="34">
        <f>IF(AND($E42&gt;0,OR(N42="")),1,IF(N42&gt;$E42,1,0))</f>
        <v>0</v>
      </c>
      <c r="AS42" s="34">
        <f>IF(AND($D42&gt;0,OR(P42="")),1,IF(P42&gt;$D42,1,0))</f>
        <v>0</v>
      </c>
      <c r="AT42" s="34">
        <f>IF(AND($E42&gt;0,OR(Q42="")),1,IF(Q42&gt;$E42,1,0))</f>
        <v>0</v>
      </c>
    </row>
    <row r="43" spans="1:46" s="6" customFormat="1" ht="15" customHeight="1">
      <c r="A43" s="1749"/>
      <c r="B43" s="1352" t="s">
        <v>215</v>
      </c>
      <c r="C43" s="1300">
        <v>0</v>
      </c>
      <c r="D43" s="1301">
        <v>0</v>
      </c>
      <c r="E43" s="1403">
        <v>0</v>
      </c>
      <c r="F43" s="1300">
        <v>0</v>
      </c>
      <c r="G43" s="1301">
        <v>0</v>
      </c>
      <c r="H43" s="1403">
        <v>0</v>
      </c>
      <c r="I43" s="1300">
        <v>0</v>
      </c>
      <c r="J43" s="1301">
        <v>0</v>
      </c>
      <c r="K43" s="1393">
        <v>0</v>
      </c>
      <c r="L43" s="1354">
        <v>0</v>
      </c>
      <c r="M43" s="1301">
        <v>0</v>
      </c>
      <c r="N43" s="1355">
        <v>0</v>
      </c>
      <c r="O43" s="1302">
        <v>0</v>
      </c>
      <c r="P43" s="1301">
        <v>0</v>
      </c>
      <c r="Q43" s="1355">
        <v>0</v>
      </c>
      <c r="X43" s="5"/>
      <c r="Y43" s="5"/>
      <c r="Z43" s="5"/>
      <c r="AA43" s="5"/>
      <c r="AB43" s="5"/>
      <c r="AC43" s="5"/>
      <c r="AD43" s="5"/>
      <c r="AE43" s="5"/>
      <c r="AF43" s="5"/>
      <c r="AG43" s="5"/>
      <c r="AH43" s="5"/>
      <c r="AI43" s="5"/>
      <c r="AJ43" s="5"/>
      <c r="AK43" s="5"/>
      <c r="AL43" s="5"/>
    </row>
    <row r="44" spans="1:46" s="6" customFormat="1" ht="17.149999999999999" customHeight="1">
      <c r="A44" s="2285" t="s">
        <v>722</v>
      </c>
      <c r="B44" s="2285"/>
      <c r="C44" s="2285"/>
      <c r="D44" s="2285"/>
      <c r="E44" s="2285"/>
      <c r="F44" s="2285"/>
      <c r="G44" s="2285"/>
      <c r="H44" s="2285"/>
      <c r="I44" s="2285"/>
      <c r="J44" s="2285"/>
      <c r="K44" s="2285"/>
      <c r="L44" s="2285"/>
      <c r="M44" s="2285"/>
      <c r="N44" s="2285"/>
      <c r="O44" s="2285"/>
      <c r="P44" s="2285"/>
      <c r="Q44" s="2285"/>
      <c r="AA44" s="5"/>
      <c r="AB44" s="5"/>
      <c r="AC44" s="5"/>
      <c r="AD44" s="5"/>
      <c r="AE44" s="5"/>
      <c r="AF44" s="5"/>
      <c r="AG44" s="5"/>
      <c r="AH44" s="5"/>
      <c r="AI44" s="5"/>
      <c r="AJ44" s="5"/>
      <c r="AK44" s="5"/>
      <c r="AL44" s="5"/>
    </row>
    <row r="45" spans="1:46" s="6" customFormat="1" ht="12" customHeight="1">
      <c r="A45" s="2292" t="s">
        <v>723</v>
      </c>
      <c r="B45" s="2293"/>
      <c r="C45" s="2068" t="s">
        <v>5</v>
      </c>
      <c r="D45" s="2069"/>
      <c r="E45" s="2070"/>
      <c r="F45" s="2304" t="s">
        <v>724</v>
      </c>
      <c r="G45" s="2244"/>
      <c r="H45" s="2184"/>
      <c r="I45" s="2304" t="s">
        <v>725</v>
      </c>
      <c r="J45" s="2244"/>
      <c r="K45" s="2198"/>
      <c r="L45" s="2193" t="s">
        <v>691</v>
      </c>
      <c r="M45" s="2244"/>
      <c r="N45" s="2184"/>
      <c r="O45" s="2244" t="s">
        <v>8</v>
      </c>
      <c r="P45" s="2244"/>
      <c r="Q45" s="2184"/>
      <c r="X45" s="5"/>
      <c r="Y45" s="5"/>
      <c r="Z45" s="5"/>
      <c r="AA45" s="5"/>
      <c r="AB45" s="5"/>
      <c r="AC45" s="5"/>
      <c r="AD45" s="5"/>
      <c r="AE45" s="5"/>
      <c r="AF45" s="5"/>
      <c r="AG45" s="5"/>
      <c r="AH45" s="5"/>
      <c r="AI45" s="5"/>
      <c r="AJ45" s="5"/>
      <c r="AK45" s="5"/>
      <c r="AL45" s="5"/>
    </row>
    <row r="46" spans="1:46" s="6" customFormat="1" ht="15" customHeight="1">
      <c r="A46" s="2306"/>
      <c r="B46" s="2307"/>
      <c r="C46" s="2096"/>
      <c r="D46" s="2308"/>
      <c r="E46" s="2097"/>
      <c r="F46" s="2309"/>
      <c r="G46" s="2310"/>
      <c r="H46" s="2185"/>
      <c r="I46" s="2309"/>
      <c r="J46" s="2310"/>
      <c r="K46" s="2312"/>
      <c r="L46" s="2194"/>
      <c r="M46" s="2310"/>
      <c r="N46" s="2185"/>
      <c r="O46" s="2310"/>
      <c r="P46" s="2310"/>
      <c r="Q46" s="2185"/>
      <c r="X46" s="5"/>
      <c r="Y46" s="5"/>
      <c r="Z46" s="5"/>
      <c r="AA46" s="5"/>
      <c r="AB46" s="5"/>
      <c r="AC46" s="5"/>
      <c r="AD46" s="5"/>
      <c r="AE46" s="5"/>
      <c r="AF46" s="5"/>
      <c r="AG46" s="5"/>
      <c r="AH46" s="5"/>
      <c r="AI46" s="5"/>
      <c r="AJ46" s="5"/>
      <c r="AK46" s="5"/>
      <c r="AL46" s="5"/>
    </row>
    <row r="47" spans="1:46" s="6" customFormat="1" ht="0.75" customHeight="1">
      <c r="A47" s="2306"/>
      <c r="B47" s="2307"/>
      <c r="C47" s="2096"/>
      <c r="D47" s="2308"/>
      <c r="E47" s="2097"/>
      <c r="F47" s="2311"/>
      <c r="G47" s="2245"/>
      <c r="H47" s="2186"/>
      <c r="I47" s="2311"/>
      <c r="J47" s="2245"/>
      <c r="K47" s="2199"/>
      <c r="L47" s="2195"/>
      <c r="M47" s="2245"/>
      <c r="N47" s="2186"/>
      <c r="O47" s="2245"/>
      <c r="P47" s="2245"/>
      <c r="Q47" s="2186"/>
      <c r="X47" s="5"/>
      <c r="Y47" s="5"/>
      <c r="Z47" s="5"/>
      <c r="AA47" s="5"/>
      <c r="AB47" s="5"/>
      <c r="AC47" s="5"/>
      <c r="AD47" s="5"/>
      <c r="AE47" s="5"/>
      <c r="AF47" s="5"/>
      <c r="AG47" s="5"/>
      <c r="AH47" s="5"/>
      <c r="AI47" s="5"/>
      <c r="AJ47" s="5"/>
      <c r="AK47" s="5"/>
      <c r="AL47" s="5"/>
    </row>
    <row r="48" spans="1:46" s="6" customFormat="1" ht="24" customHeight="1">
      <c r="A48" s="2294"/>
      <c r="B48" s="2295"/>
      <c r="C48" s="1297" t="s">
        <v>178</v>
      </c>
      <c r="D48" s="1297" t="s">
        <v>726</v>
      </c>
      <c r="E48" s="1306" t="s">
        <v>41</v>
      </c>
      <c r="F48" s="1297" t="s">
        <v>178</v>
      </c>
      <c r="G48" s="1297" t="s">
        <v>726</v>
      </c>
      <c r="H48" s="1306" t="s">
        <v>41</v>
      </c>
      <c r="I48" s="1297" t="s">
        <v>178</v>
      </c>
      <c r="J48" s="1297" t="s">
        <v>726</v>
      </c>
      <c r="K48" s="1299" t="s">
        <v>41</v>
      </c>
      <c r="L48" s="1297" t="s">
        <v>178</v>
      </c>
      <c r="M48" s="1297" t="s">
        <v>726</v>
      </c>
      <c r="N48" s="1298" t="s">
        <v>41</v>
      </c>
      <c r="O48" s="1404" t="s">
        <v>178</v>
      </c>
      <c r="P48" s="1297" t="s">
        <v>726</v>
      </c>
      <c r="Q48" s="1298" t="s">
        <v>41</v>
      </c>
      <c r="X48" s="5"/>
      <c r="Y48" s="5"/>
      <c r="Z48" s="5"/>
      <c r="AA48" s="5"/>
      <c r="AB48" s="5"/>
      <c r="AC48" s="5"/>
      <c r="AD48" s="5"/>
      <c r="AE48" s="5"/>
      <c r="AF48" s="5"/>
      <c r="AG48" s="5"/>
      <c r="AH48" s="5"/>
      <c r="AI48" s="5"/>
      <c r="AJ48" s="5"/>
      <c r="AK48" s="5"/>
      <c r="AL48" s="5"/>
    </row>
    <row r="49" spans="1:46" s="6" customFormat="1" ht="15" customHeight="1">
      <c r="A49" s="2301" t="s">
        <v>727</v>
      </c>
      <c r="B49" s="2302"/>
      <c r="C49" s="1405">
        <f t="shared" ref="C49:C54" si="43">SUM(D49:E49)</f>
        <v>0</v>
      </c>
      <c r="D49" s="1406">
        <f>+G49+J49</f>
        <v>0</v>
      </c>
      <c r="E49" s="1405">
        <f>+H49+K49</f>
        <v>0</v>
      </c>
      <c r="F49" s="1407">
        <f t="shared" ref="F49:F54" si="44">SUM(G49:H49)</f>
        <v>0</v>
      </c>
      <c r="G49" s="1408"/>
      <c r="H49" s="1314"/>
      <c r="I49" s="1407">
        <f t="shared" ref="I49:I54" si="45">SUM(J49:K49)</f>
        <v>0</v>
      </c>
      <c r="J49" s="1408"/>
      <c r="K49" s="1409"/>
      <c r="L49" s="1410">
        <f t="shared" ref="L49:L54" si="46">SUM(M49:N49)</f>
        <v>0</v>
      </c>
      <c r="M49" s="1408"/>
      <c r="N49" s="1314"/>
      <c r="O49" s="1382">
        <f t="shared" ref="O49:O54" si="47">SUM(P49:Q49)</f>
        <v>0</v>
      </c>
      <c r="P49" s="1408"/>
      <c r="Q49" s="1314"/>
      <c r="R49" s="6" t="str">
        <f t="shared" ref="R49:R54" si="48">AJ49&amp;AK49&amp;AL49&amp;AM49</f>
        <v/>
      </c>
      <c r="X49" s="5"/>
      <c r="Y49" s="5"/>
      <c r="Z49" s="5"/>
      <c r="AA49" s="5"/>
      <c r="AB49" s="5"/>
      <c r="AC49" s="5"/>
      <c r="AD49" s="5"/>
      <c r="AE49" s="5"/>
      <c r="AF49" s="5"/>
      <c r="AG49" s="5"/>
      <c r="AH49" s="5"/>
      <c r="AI49" s="5"/>
      <c r="AJ49" s="142" t="str">
        <f t="shared" ref="AJ49:AJ54" si="49">IF(AND(D49&gt;0,OR(M49=""))," * No olvide digitar la variable Pueblos Originarios Hombres. Digite Cero si no tiene.",IF(M49&gt;D49," * La variable Pueblos Originarios Hombres no puede ser Mayor al Total Hombres.",""))</f>
        <v/>
      </c>
      <c r="AK49" s="142" t="str">
        <f t="shared" ref="AK49:AK54" si="50">IF(AND(E49&gt;0,OR(N49=""))," * No olvide digitar la variable Pueblos Originarios Mujeres. Digite Cero si no tiene.",IF(N49&gt;E49," * La variable Pueblos Originarios Mujeres no puede ser Mayor al Total Mujeres.",""))</f>
        <v/>
      </c>
      <c r="AL49" s="142" t="str">
        <f t="shared" ref="AL49:AL54" si="51">IF(AND($D49&gt;0,OR(P49=""))," * No olvide digitar la variable Migrantes Hombres. Digite Cero si no tiene.",IF(P49&gt;$D49," * La variable Migrantes Hombres no puede ser Mayor al Total Hombres.",""))</f>
        <v/>
      </c>
      <c r="AM49" s="1359" t="str">
        <f t="shared" ref="AM49:AM54" si="52">IF(AND($E49&gt;0,OR(Q49=""))," * No olvide digitar la variable Migrantes Mujeres. Digite Cero si no tiene.",IF(Q49&gt;$E49," * La variable Migrantes Mujeres no puede ser Mayor al Total Mujeres.",""))</f>
        <v/>
      </c>
      <c r="AN49" s="5"/>
      <c r="AO49" s="5"/>
      <c r="AP49" s="5"/>
      <c r="AQ49" s="34">
        <f t="shared" ref="AQ49:AQ54" si="53">IF(AND($D49&gt;0,OR(M49="")),1,IF(M49&gt;$D49,1,0))</f>
        <v>0</v>
      </c>
      <c r="AR49" s="34">
        <f t="shared" ref="AR49:AR54" si="54">IF(AND($E49&gt;0,OR(N49="")),1,IF(N49&gt;$E49,1,0))</f>
        <v>0</v>
      </c>
      <c r="AS49" s="34">
        <f t="shared" ref="AS49:AS54" si="55">IF(AND($D49&gt;0,OR(P49="")),1,IF(P49&gt;$D49,1,0))</f>
        <v>0</v>
      </c>
      <c r="AT49" s="34">
        <f t="shared" ref="AT49:AT54" si="56">IF(AND($E49&gt;0,OR(Q49="")),1,IF(Q49&gt;$E49,1,0))</f>
        <v>0</v>
      </c>
    </row>
    <row r="50" spans="1:46" s="6" customFormat="1" ht="15" customHeight="1">
      <c r="A50" s="2283" t="s">
        <v>728</v>
      </c>
      <c r="B50" s="2284"/>
      <c r="C50" s="1411">
        <f t="shared" si="43"/>
        <v>0</v>
      </c>
      <c r="D50" s="1412">
        <f>+G50+J50</f>
        <v>0</v>
      </c>
      <c r="E50" s="1411">
        <f t="shared" ref="D50:E54" si="57">+H50+K50</f>
        <v>0</v>
      </c>
      <c r="F50" s="1413">
        <f t="shared" si="44"/>
        <v>0</v>
      </c>
      <c r="G50" s="1414"/>
      <c r="H50" s="1340"/>
      <c r="I50" s="1413">
        <f t="shared" si="45"/>
        <v>0</v>
      </c>
      <c r="J50" s="1414"/>
      <c r="K50" s="1415"/>
      <c r="L50" s="1416">
        <f t="shared" si="46"/>
        <v>0</v>
      </c>
      <c r="M50" s="1414"/>
      <c r="N50" s="1340"/>
      <c r="O50" s="1387">
        <f t="shared" si="47"/>
        <v>0</v>
      </c>
      <c r="P50" s="1414"/>
      <c r="Q50" s="1340"/>
      <c r="R50" s="6" t="str">
        <f t="shared" si="48"/>
        <v/>
      </c>
      <c r="X50" s="5"/>
      <c r="Y50" s="5"/>
      <c r="Z50" s="5"/>
      <c r="AA50" s="5"/>
      <c r="AB50" s="5"/>
      <c r="AC50" s="5"/>
      <c r="AD50" s="5"/>
      <c r="AE50" s="5"/>
      <c r="AF50" s="5"/>
      <c r="AG50" s="5"/>
      <c r="AH50" s="5"/>
      <c r="AI50" s="5"/>
      <c r="AJ50" s="142" t="str">
        <f t="shared" si="49"/>
        <v/>
      </c>
      <c r="AK50" s="142" t="str">
        <f t="shared" si="50"/>
        <v/>
      </c>
      <c r="AL50" s="142" t="str">
        <f t="shared" si="51"/>
        <v/>
      </c>
      <c r="AM50" s="1359" t="str">
        <f t="shared" si="52"/>
        <v/>
      </c>
      <c r="AN50" s="5"/>
      <c r="AO50" s="5"/>
      <c r="AP50" s="5"/>
      <c r="AQ50" s="34">
        <f t="shared" si="53"/>
        <v>0</v>
      </c>
      <c r="AR50" s="34">
        <f t="shared" si="54"/>
        <v>0</v>
      </c>
      <c r="AS50" s="34">
        <f t="shared" si="55"/>
        <v>0</v>
      </c>
      <c r="AT50" s="34">
        <f t="shared" si="56"/>
        <v>0</v>
      </c>
    </row>
    <row r="51" spans="1:46" s="6" customFormat="1" ht="15" customHeight="1">
      <c r="A51" s="2283" t="s">
        <v>729</v>
      </c>
      <c r="B51" s="2284"/>
      <c r="C51" s="1411">
        <f t="shared" si="43"/>
        <v>0</v>
      </c>
      <c r="D51" s="1412">
        <f>+G51</f>
        <v>0</v>
      </c>
      <c r="E51" s="1411">
        <f>+H51</f>
        <v>0</v>
      </c>
      <c r="F51" s="1413">
        <f t="shared" si="44"/>
        <v>0</v>
      </c>
      <c r="G51" s="1414"/>
      <c r="H51" s="1340"/>
      <c r="I51" s="1413">
        <f>SUM(J51:K51)</f>
        <v>0</v>
      </c>
      <c r="J51" s="1417"/>
      <c r="K51" s="1418"/>
      <c r="L51" s="1416">
        <f t="shared" si="46"/>
        <v>0</v>
      </c>
      <c r="M51" s="1414"/>
      <c r="N51" s="1340"/>
      <c r="O51" s="1387">
        <f t="shared" si="47"/>
        <v>0</v>
      </c>
      <c r="P51" s="1414"/>
      <c r="Q51" s="1340"/>
      <c r="R51" s="6" t="str">
        <f t="shared" si="48"/>
        <v/>
      </c>
      <c r="X51" s="5"/>
      <c r="Y51" s="5"/>
      <c r="Z51" s="5"/>
      <c r="AA51" s="5"/>
      <c r="AB51" s="5"/>
      <c r="AC51" s="5"/>
      <c r="AD51" s="5"/>
      <c r="AE51" s="5"/>
      <c r="AF51" s="5"/>
      <c r="AG51" s="5"/>
      <c r="AH51" s="5"/>
      <c r="AI51" s="5"/>
      <c r="AJ51" s="142" t="str">
        <f t="shared" si="49"/>
        <v/>
      </c>
      <c r="AK51" s="142" t="str">
        <f t="shared" si="50"/>
        <v/>
      </c>
      <c r="AL51" s="142" t="str">
        <f t="shared" si="51"/>
        <v/>
      </c>
      <c r="AM51" s="1359" t="str">
        <f t="shared" si="52"/>
        <v/>
      </c>
      <c r="AN51" s="5"/>
      <c r="AO51" s="5"/>
      <c r="AP51" s="5"/>
      <c r="AQ51" s="34">
        <f t="shared" si="53"/>
        <v>0</v>
      </c>
      <c r="AR51" s="34">
        <f t="shared" si="54"/>
        <v>0</v>
      </c>
      <c r="AS51" s="34">
        <f t="shared" si="55"/>
        <v>0</v>
      </c>
      <c r="AT51" s="34">
        <f t="shared" si="56"/>
        <v>0</v>
      </c>
    </row>
    <row r="52" spans="1:46" s="6" customFormat="1" ht="15" customHeight="1">
      <c r="A52" s="2283" t="s">
        <v>730</v>
      </c>
      <c r="B52" s="2284"/>
      <c r="C52" s="1411">
        <f>SUM(D52:E52)</f>
        <v>0</v>
      </c>
      <c r="D52" s="1412">
        <f>+J52</f>
        <v>0</v>
      </c>
      <c r="E52" s="1411">
        <f>+K52</f>
        <v>0</v>
      </c>
      <c r="F52" s="1413">
        <f>SUM(G52:H52)</f>
        <v>0</v>
      </c>
      <c r="G52" s="1417"/>
      <c r="H52" s="1419"/>
      <c r="I52" s="1413">
        <f t="shared" si="45"/>
        <v>0</v>
      </c>
      <c r="J52" s="1414"/>
      <c r="K52" s="1415"/>
      <c r="L52" s="1416">
        <f t="shared" si="46"/>
        <v>0</v>
      </c>
      <c r="M52" s="1414"/>
      <c r="N52" s="1340"/>
      <c r="O52" s="1387">
        <f t="shared" si="47"/>
        <v>0</v>
      </c>
      <c r="P52" s="1414"/>
      <c r="Q52" s="1340"/>
      <c r="R52" s="6" t="str">
        <f t="shared" si="48"/>
        <v/>
      </c>
      <c r="X52" s="5"/>
      <c r="Y52" s="5"/>
      <c r="Z52" s="5"/>
      <c r="AA52" s="5"/>
      <c r="AB52" s="5"/>
      <c r="AC52" s="5"/>
      <c r="AD52" s="5"/>
      <c r="AE52" s="5"/>
      <c r="AF52" s="5"/>
      <c r="AG52" s="5"/>
      <c r="AH52" s="5"/>
      <c r="AI52" s="5"/>
      <c r="AJ52" s="142" t="str">
        <f t="shared" si="49"/>
        <v/>
      </c>
      <c r="AK52" s="142" t="str">
        <f t="shared" si="50"/>
        <v/>
      </c>
      <c r="AL52" s="142" t="str">
        <f t="shared" si="51"/>
        <v/>
      </c>
      <c r="AM52" s="1359" t="str">
        <f t="shared" si="52"/>
        <v/>
      </c>
      <c r="AN52" s="5"/>
      <c r="AO52" s="5"/>
      <c r="AP52" s="5"/>
      <c r="AQ52" s="34">
        <f t="shared" si="53"/>
        <v>0</v>
      </c>
      <c r="AR52" s="34">
        <f t="shared" si="54"/>
        <v>0</v>
      </c>
      <c r="AS52" s="34">
        <f t="shared" si="55"/>
        <v>0</v>
      </c>
      <c r="AT52" s="34">
        <f t="shared" si="56"/>
        <v>0</v>
      </c>
    </row>
    <row r="53" spans="1:46" s="6" customFormat="1" ht="15" customHeight="1">
      <c r="A53" s="2283" t="s">
        <v>731</v>
      </c>
      <c r="B53" s="2284"/>
      <c r="C53" s="1411">
        <f t="shared" si="43"/>
        <v>0</v>
      </c>
      <c r="D53" s="1412">
        <f t="shared" si="57"/>
        <v>0</v>
      </c>
      <c r="E53" s="1411">
        <f t="shared" si="57"/>
        <v>0</v>
      </c>
      <c r="F53" s="1413">
        <f t="shared" si="44"/>
        <v>0</v>
      </c>
      <c r="G53" s="1414"/>
      <c r="H53" s="1340"/>
      <c r="I53" s="1413">
        <f t="shared" si="45"/>
        <v>0</v>
      </c>
      <c r="J53" s="1414"/>
      <c r="K53" s="1415"/>
      <c r="L53" s="1386">
        <f t="shared" si="46"/>
        <v>0</v>
      </c>
      <c r="M53" s="1414"/>
      <c r="N53" s="1340"/>
      <c r="O53" s="1387">
        <f t="shared" si="47"/>
        <v>0</v>
      </c>
      <c r="P53" s="1414"/>
      <c r="Q53" s="1340"/>
      <c r="R53" s="6" t="str">
        <f t="shared" si="48"/>
        <v/>
      </c>
      <c r="X53" s="5"/>
      <c r="Y53" s="5"/>
      <c r="Z53" s="5"/>
      <c r="AA53" s="5"/>
      <c r="AB53" s="5"/>
      <c r="AC53" s="5"/>
      <c r="AD53" s="5"/>
      <c r="AE53" s="5"/>
      <c r="AF53" s="5"/>
      <c r="AG53" s="5"/>
      <c r="AH53" s="5"/>
      <c r="AI53" s="5"/>
      <c r="AJ53" s="142" t="str">
        <f t="shared" si="49"/>
        <v/>
      </c>
      <c r="AK53" s="142" t="str">
        <f t="shared" si="50"/>
        <v/>
      </c>
      <c r="AL53" s="142" t="str">
        <f t="shared" si="51"/>
        <v/>
      </c>
      <c r="AM53" s="1359" t="str">
        <f t="shared" si="52"/>
        <v/>
      </c>
      <c r="AN53" s="5"/>
      <c r="AO53" s="5"/>
      <c r="AP53" s="5"/>
      <c r="AQ53" s="34">
        <f t="shared" si="53"/>
        <v>0</v>
      </c>
      <c r="AR53" s="34">
        <f t="shared" si="54"/>
        <v>0</v>
      </c>
      <c r="AS53" s="34">
        <f t="shared" si="55"/>
        <v>0</v>
      </c>
      <c r="AT53" s="34">
        <f t="shared" si="56"/>
        <v>0</v>
      </c>
    </row>
    <row r="54" spans="1:46" s="6" customFormat="1" ht="15" customHeight="1">
      <c r="A54" s="2290" t="s">
        <v>732</v>
      </c>
      <c r="B54" s="2291"/>
      <c r="C54" s="1420">
        <f t="shared" si="43"/>
        <v>0</v>
      </c>
      <c r="D54" s="1421">
        <f t="shared" si="57"/>
        <v>0</v>
      </c>
      <c r="E54" s="1420">
        <f t="shared" si="57"/>
        <v>0</v>
      </c>
      <c r="F54" s="1422">
        <f t="shared" si="44"/>
        <v>0</v>
      </c>
      <c r="G54" s="1423"/>
      <c r="H54" s="1424"/>
      <c r="I54" s="1422">
        <f t="shared" si="45"/>
        <v>0</v>
      </c>
      <c r="J54" s="1425"/>
      <c r="K54" s="1426"/>
      <c r="L54" s="1367">
        <f t="shared" si="46"/>
        <v>0</v>
      </c>
      <c r="M54" s="1425"/>
      <c r="N54" s="1329"/>
      <c r="O54" s="1368">
        <f t="shared" si="47"/>
        <v>0</v>
      </c>
      <c r="P54" s="1425"/>
      <c r="Q54" s="1329"/>
      <c r="R54" s="6" t="str">
        <f t="shared" si="48"/>
        <v/>
      </c>
      <c r="X54" s="5"/>
      <c r="Y54" s="5"/>
      <c r="Z54" s="5"/>
      <c r="AA54" s="5"/>
      <c r="AB54" s="5"/>
      <c r="AC54" s="5"/>
      <c r="AD54" s="5"/>
      <c r="AE54" s="5"/>
      <c r="AF54" s="5"/>
      <c r="AG54" s="5"/>
      <c r="AH54" s="5"/>
      <c r="AI54" s="5"/>
      <c r="AJ54" s="142" t="str">
        <f t="shared" si="49"/>
        <v/>
      </c>
      <c r="AK54" s="142" t="str">
        <f t="shared" si="50"/>
        <v/>
      </c>
      <c r="AL54" s="142" t="str">
        <f t="shared" si="51"/>
        <v/>
      </c>
      <c r="AM54" s="1359" t="str">
        <f t="shared" si="52"/>
        <v/>
      </c>
      <c r="AN54" s="5"/>
      <c r="AO54" s="5"/>
      <c r="AP54" s="5"/>
      <c r="AQ54" s="34">
        <f t="shared" si="53"/>
        <v>0</v>
      </c>
      <c r="AR54" s="34">
        <f t="shared" si="54"/>
        <v>0</v>
      </c>
      <c r="AS54" s="34">
        <f t="shared" si="55"/>
        <v>0</v>
      </c>
      <c r="AT54" s="34">
        <f t="shared" si="56"/>
        <v>0</v>
      </c>
    </row>
    <row r="55" spans="1:46" s="6" customFormat="1" ht="17.149999999999999" customHeight="1">
      <c r="A55" s="2285" t="s">
        <v>733</v>
      </c>
      <c r="B55" s="2285"/>
      <c r="C55" s="2285"/>
      <c r="D55" s="2285"/>
      <c r="E55" s="2285"/>
      <c r="F55" s="2285"/>
      <c r="G55" s="2285"/>
      <c r="H55" s="2285"/>
      <c r="I55" s="2285"/>
      <c r="J55" s="2285"/>
      <c r="K55" s="2285"/>
      <c r="L55" s="2285"/>
      <c r="M55" s="2285"/>
      <c r="N55" s="2285"/>
      <c r="O55" s="2285"/>
      <c r="P55" s="2285"/>
      <c r="Q55" s="2285"/>
      <c r="AA55" s="5"/>
      <c r="AB55" s="5"/>
      <c r="AC55" s="5"/>
      <c r="AD55" s="5"/>
      <c r="AE55" s="5"/>
      <c r="AF55" s="5"/>
      <c r="AG55" s="5"/>
      <c r="AH55" s="5"/>
      <c r="AI55" s="5"/>
      <c r="AJ55" s="5"/>
      <c r="AK55" s="5"/>
      <c r="AL55" s="5"/>
    </row>
    <row r="56" spans="1:46" s="6" customFormat="1" ht="18" customHeight="1">
      <c r="A56" s="2303" t="s">
        <v>734</v>
      </c>
      <c r="B56" s="2303"/>
      <c r="C56" s="2068" t="s">
        <v>5</v>
      </c>
      <c r="D56" s="2069"/>
      <c r="E56" s="2070"/>
      <c r="F56" s="2304" t="s">
        <v>724</v>
      </c>
      <c r="G56" s="2244"/>
      <c r="H56" s="2184"/>
      <c r="I56" s="2304" t="s">
        <v>725</v>
      </c>
      <c r="J56" s="2244"/>
      <c r="K56" s="2198"/>
      <c r="L56" s="2244" t="s">
        <v>691</v>
      </c>
      <c r="M56" s="2244"/>
      <c r="N56" s="2184"/>
      <c r="O56" s="2304" t="s">
        <v>8</v>
      </c>
      <c r="P56" s="2244"/>
      <c r="Q56" s="2184"/>
      <c r="X56" s="5"/>
      <c r="Y56" s="5"/>
      <c r="Z56" s="5"/>
      <c r="AA56" s="5"/>
      <c r="AB56" s="5"/>
      <c r="AC56" s="5"/>
      <c r="AD56" s="5"/>
      <c r="AE56" s="5"/>
      <c r="AF56" s="5"/>
      <c r="AG56" s="5"/>
      <c r="AH56" s="5"/>
      <c r="AI56" s="5"/>
      <c r="AJ56" s="5"/>
      <c r="AK56" s="5"/>
      <c r="AL56" s="5"/>
    </row>
    <row r="57" spans="1:46" s="6" customFormat="1" ht="27" customHeight="1">
      <c r="A57" s="2303"/>
      <c r="B57" s="2303"/>
      <c r="C57" s="1297" t="s">
        <v>178</v>
      </c>
      <c r="D57" s="1297" t="s">
        <v>726</v>
      </c>
      <c r="E57" s="1306" t="s">
        <v>41</v>
      </c>
      <c r="F57" s="1297" t="s">
        <v>178</v>
      </c>
      <c r="G57" s="1297" t="s">
        <v>726</v>
      </c>
      <c r="H57" s="1306" t="s">
        <v>41</v>
      </c>
      <c r="I57" s="1297" t="s">
        <v>178</v>
      </c>
      <c r="J57" s="1297" t="s">
        <v>726</v>
      </c>
      <c r="K57" s="1299" t="s">
        <v>41</v>
      </c>
      <c r="L57" s="1306" t="s">
        <v>178</v>
      </c>
      <c r="M57" s="1297" t="s">
        <v>726</v>
      </c>
      <c r="N57" s="1298" t="s">
        <v>41</v>
      </c>
      <c r="O57" s="1404" t="s">
        <v>178</v>
      </c>
      <c r="P57" s="1297" t="s">
        <v>726</v>
      </c>
      <c r="Q57" s="1427" t="s">
        <v>41</v>
      </c>
      <c r="X57" s="5"/>
      <c r="Y57" s="5"/>
      <c r="Z57" s="5"/>
      <c r="AA57" s="5"/>
      <c r="AB57" s="5"/>
      <c r="AC57" s="5"/>
      <c r="AD57" s="5"/>
      <c r="AE57" s="5"/>
      <c r="AF57" s="5"/>
      <c r="AG57" s="5"/>
      <c r="AH57" s="5"/>
      <c r="AI57" s="5"/>
      <c r="AJ57" s="5"/>
      <c r="AK57" s="5"/>
      <c r="AL57" s="5"/>
    </row>
    <row r="58" spans="1:46" s="6" customFormat="1" ht="15" customHeight="1">
      <c r="A58" s="2301" t="s">
        <v>735</v>
      </c>
      <c r="B58" s="2302"/>
      <c r="C58" s="1428">
        <f t="shared" ref="C58:C67" si="58">SUM(D58:E58)</f>
        <v>0</v>
      </c>
      <c r="D58" s="1429">
        <f>+G58+J58</f>
        <v>0</v>
      </c>
      <c r="E58" s="1430">
        <f t="shared" ref="E58:E67" si="59">+H58+K58</f>
        <v>0</v>
      </c>
      <c r="F58" s="1428">
        <f t="shared" ref="F58:F67" si="60">SUM(G58:H58)</f>
        <v>0</v>
      </c>
      <c r="G58" s="1414"/>
      <c r="H58" s="1340"/>
      <c r="I58" s="1428">
        <f t="shared" ref="I58:I67" si="61">SUM(J58:K58)</f>
        <v>0</v>
      </c>
      <c r="J58" s="1414"/>
      <c r="K58" s="1341"/>
      <c r="L58" s="1431">
        <f t="shared" ref="L58:L67" si="62">SUM(M58:N58)</f>
        <v>0</v>
      </c>
      <c r="M58" s="1414"/>
      <c r="N58" s="1340"/>
      <c r="O58" s="1430">
        <f t="shared" ref="O58:O67" si="63">SUM(P58:Q58)</f>
        <v>0</v>
      </c>
      <c r="P58" s="1414"/>
      <c r="Q58" s="1340"/>
      <c r="R58" s="6" t="str">
        <f t="shared" ref="R58:R67" si="64">AJ58&amp;AK58&amp;AL58&amp;AM58</f>
        <v/>
      </c>
      <c r="X58" s="5"/>
      <c r="Y58" s="5"/>
      <c r="Z58" s="5"/>
      <c r="AA58" s="5"/>
      <c r="AB58" s="5"/>
      <c r="AC58" s="5"/>
      <c r="AD58" s="5"/>
      <c r="AE58" s="5"/>
      <c r="AF58" s="5"/>
      <c r="AG58" s="5"/>
      <c r="AH58" s="5"/>
      <c r="AI58" s="5"/>
      <c r="AJ58" s="142" t="str">
        <f t="shared" ref="AJ58:AJ67" si="65">IF(AND(D58&gt;0,OR(M58=""))," * No olvide digitar la variable Pueblos Originarios Hombres. Digite Cero si no tiene.",IF(M58&gt;D58," * La variable Pueblos Originarios Hombres no puede ser Mayor al Total Hombres.",""))</f>
        <v/>
      </c>
      <c r="AK58" s="142" t="str">
        <f t="shared" ref="AK58:AK67" si="66">IF(AND(E58&gt;0,OR(N58=""))," * No olvide digitar la variable Pueblos Originarios Mujeres. Digite Cero si no tiene.",IF(N58&gt;E58," * La variable Pueblos Originarios Mujeres no puede ser Mayor al Total Mujeres.",""))</f>
        <v/>
      </c>
      <c r="AL58" s="142" t="str">
        <f t="shared" ref="AL58:AL67" si="67">IF(AND($D58&gt;0,OR(P58=""))," * No olvide digitar la variable Migrantes Hombres. Digite Cero si no tiene.",IF(P58&gt;$D58," * La variable Migrantes Hombres no puede ser Mayor al Total Hombres.",""))</f>
        <v/>
      </c>
      <c r="AM58" s="1359" t="str">
        <f t="shared" ref="AM58:AM67" si="68">IF(AND($E58&gt;0,OR(Q58=""))," * No olvide digitar la variable Migrantes Mujeres. Digite Cero si no tiene.",IF(Q58&gt;$E58," * La variable Migrantes Mujeres no puede ser Mayor al Total Mujeres.",""))</f>
        <v/>
      </c>
      <c r="AN58" s="5"/>
      <c r="AO58" s="5"/>
      <c r="AP58" s="5"/>
      <c r="AQ58" s="34">
        <f t="shared" ref="AQ58:AQ67" si="69">IF(AND($D58&gt;0,OR(M58="")),1,IF(M58&gt;$D58,1,0))</f>
        <v>0</v>
      </c>
      <c r="AR58" s="34">
        <f t="shared" ref="AR58:AR67" si="70">IF(AND($E58&gt;0,OR(N58="")),1,IF(N58&gt;$E58,1,0))</f>
        <v>0</v>
      </c>
      <c r="AS58" s="34">
        <f t="shared" ref="AS58:AS67" si="71">IF(AND($D58&gt;0,OR(P58="")),1,IF(P58&gt;$D58,1,0))</f>
        <v>0</v>
      </c>
      <c r="AT58" s="34">
        <f t="shared" ref="AT58:AT67" si="72">IF(AND($E58&gt;0,OR(Q58="")),1,IF(Q58&gt;$E58,1,0))</f>
        <v>0</v>
      </c>
    </row>
    <row r="59" spans="1:46" s="6" customFormat="1" ht="15" customHeight="1">
      <c r="A59" s="1841" t="s">
        <v>736</v>
      </c>
      <c r="B59" s="1842"/>
      <c r="C59" s="1432">
        <f t="shared" si="58"/>
        <v>0</v>
      </c>
      <c r="D59" s="1433">
        <f t="shared" ref="D59:D67" si="73">+G59+J59</f>
        <v>0</v>
      </c>
      <c r="E59" s="1387">
        <f>+H59+K59</f>
        <v>0</v>
      </c>
      <c r="F59" s="1432">
        <f t="shared" si="60"/>
        <v>0</v>
      </c>
      <c r="G59" s="1414"/>
      <c r="H59" s="1340"/>
      <c r="I59" s="1413">
        <f t="shared" si="61"/>
        <v>0</v>
      </c>
      <c r="J59" s="1414"/>
      <c r="K59" s="1341"/>
      <c r="L59" s="1416">
        <f t="shared" si="62"/>
        <v>0</v>
      </c>
      <c r="M59" s="1414"/>
      <c r="N59" s="1340"/>
      <c r="O59" s="1411">
        <f t="shared" si="63"/>
        <v>0</v>
      </c>
      <c r="P59" s="1414"/>
      <c r="Q59" s="1340"/>
      <c r="R59" s="6" t="str">
        <f t="shared" si="64"/>
        <v/>
      </c>
      <c r="X59" s="5"/>
      <c r="Y59" s="5"/>
      <c r="Z59" s="5"/>
      <c r="AA59" s="5"/>
      <c r="AB59" s="5"/>
      <c r="AC59" s="5"/>
      <c r="AD59" s="5"/>
      <c r="AE59" s="5"/>
      <c r="AF59" s="5"/>
      <c r="AG59" s="5"/>
      <c r="AH59" s="5"/>
      <c r="AI59" s="5"/>
      <c r="AJ59" s="142" t="str">
        <f t="shared" si="65"/>
        <v/>
      </c>
      <c r="AK59" s="142" t="str">
        <f t="shared" si="66"/>
        <v/>
      </c>
      <c r="AL59" s="142" t="str">
        <f t="shared" si="67"/>
        <v/>
      </c>
      <c r="AM59" s="1359" t="str">
        <f t="shared" si="68"/>
        <v/>
      </c>
      <c r="AN59" s="5"/>
      <c r="AO59" s="5"/>
      <c r="AP59" s="5"/>
      <c r="AQ59" s="34">
        <f t="shared" si="69"/>
        <v>0</v>
      </c>
      <c r="AR59" s="34">
        <f t="shared" si="70"/>
        <v>0</v>
      </c>
      <c r="AS59" s="34">
        <f t="shared" si="71"/>
        <v>0</v>
      </c>
      <c r="AT59" s="34">
        <f t="shared" si="72"/>
        <v>0</v>
      </c>
    </row>
    <row r="60" spans="1:46" s="6" customFormat="1" ht="15" customHeight="1">
      <c r="A60" s="1841" t="s">
        <v>737</v>
      </c>
      <c r="B60" s="1842"/>
      <c r="C60" s="1387">
        <f t="shared" si="58"/>
        <v>0</v>
      </c>
      <c r="D60" s="1433">
        <f t="shared" si="73"/>
        <v>0</v>
      </c>
      <c r="E60" s="1387">
        <f t="shared" si="59"/>
        <v>0</v>
      </c>
      <c r="F60" s="1387">
        <f t="shared" si="60"/>
        <v>0</v>
      </c>
      <c r="G60" s="1414"/>
      <c r="H60" s="1340"/>
      <c r="I60" s="1413">
        <f t="shared" si="61"/>
        <v>0</v>
      </c>
      <c r="J60" s="1414"/>
      <c r="K60" s="1341"/>
      <c r="L60" s="1416">
        <f t="shared" si="62"/>
        <v>0</v>
      </c>
      <c r="M60" s="1414"/>
      <c r="N60" s="1340"/>
      <c r="O60" s="1411">
        <f t="shared" si="63"/>
        <v>0</v>
      </c>
      <c r="P60" s="1414"/>
      <c r="Q60" s="1340"/>
      <c r="R60" s="6" t="str">
        <f t="shared" si="64"/>
        <v/>
      </c>
      <c r="X60" s="5"/>
      <c r="Y60" s="5"/>
      <c r="Z60" s="5"/>
      <c r="AA60" s="5"/>
      <c r="AB60" s="5"/>
      <c r="AC60" s="5"/>
      <c r="AD60" s="5"/>
      <c r="AE60" s="5"/>
      <c r="AF60" s="5"/>
      <c r="AG60" s="5"/>
      <c r="AH60" s="5"/>
      <c r="AI60" s="5"/>
      <c r="AJ60" s="142" t="str">
        <f t="shared" si="65"/>
        <v/>
      </c>
      <c r="AK60" s="142" t="str">
        <f t="shared" si="66"/>
        <v/>
      </c>
      <c r="AL60" s="142" t="str">
        <f t="shared" si="67"/>
        <v/>
      </c>
      <c r="AM60" s="1359" t="str">
        <f t="shared" si="68"/>
        <v/>
      </c>
      <c r="AN60" s="5"/>
      <c r="AO60" s="5"/>
      <c r="AP60" s="5"/>
      <c r="AQ60" s="34">
        <f t="shared" si="69"/>
        <v>0</v>
      </c>
      <c r="AR60" s="34">
        <f t="shared" si="70"/>
        <v>0</v>
      </c>
      <c r="AS60" s="34">
        <f t="shared" si="71"/>
        <v>0</v>
      </c>
      <c r="AT60" s="34">
        <f t="shared" si="72"/>
        <v>0</v>
      </c>
    </row>
    <row r="61" spans="1:46" s="6" customFormat="1" ht="15" customHeight="1">
      <c r="A61" s="1841" t="s">
        <v>738</v>
      </c>
      <c r="B61" s="1842"/>
      <c r="C61" s="1387">
        <f t="shared" si="58"/>
        <v>0</v>
      </c>
      <c r="D61" s="1433">
        <f t="shared" si="73"/>
        <v>0</v>
      </c>
      <c r="E61" s="1387">
        <f t="shared" si="59"/>
        <v>0</v>
      </c>
      <c r="F61" s="1387">
        <f t="shared" si="60"/>
        <v>0</v>
      </c>
      <c r="G61" s="1414"/>
      <c r="H61" s="1340"/>
      <c r="I61" s="1413">
        <f>SUM(J61:K61)</f>
        <v>0</v>
      </c>
      <c r="J61" s="1414"/>
      <c r="K61" s="1341"/>
      <c r="L61" s="1416">
        <f t="shared" si="62"/>
        <v>0</v>
      </c>
      <c r="M61" s="1414"/>
      <c r="N61" s="1340"/>
      <c r="O61" s="1411">
        <f t="shared" si="63"/>
        <v>0</v>
      </c>
      <c r="P61" s="1414"/>
      <c r="Q61" s="1340"/>
      <c r="R61" s="6" t="str">
        <f t="shared" si="64"/>
        <v/>
      </c>
      <c r="X61" s="5"/>
      <c r="Y61" s="5"/>
      <c r="Z61" s="5"/>
      <c r="AA61" s="5"/>
      <c r="AB61" s="5"/>
      <c r="AC61" s="5"/>
      <c r="AD61" s="5"/>
      <c r="AE61" s="5"/>
      <c r="AF61" s="5"/>
      <c r="AG61" s="5"/>
      <c r="AH61" s="5"/>
      <c r="AI61" s="5"/>
      <c r="AJ61" s="142" t="str">
        <f t="shared" si="65"/>
        <v/>
      </c>
      <c r="AK61" s="142" t="str">
        <f t="shared" si="66"/>
        <v/>
      </c>
      <c r="AL61" s="142" t="str">
        <f t="shared" si="67"/>
        <v/>
      </c>
      <c r="AM61" s="1359" t="str">
        <f t="shared" si="68"/>
        <v/>
      </c>
      <c r="AN61" s="5"/>
      <c r="AO61" s="5"/>
      <c r="AP61" s="5"/>
      <c r="AQ61" s="34">
        <f t="shared" si="69"/>
        <v>0</v>
      </c>
      <c r="AR61" s="34">
        <f t="shared" si="70"/>
        <v>0</v>
      </c>
      <c r="AS61" s="34">
        <f t="shared" si="71"/>
        <v>0</v>
      </c>
      <c r="AT61" s="34">
        <f t="shared" si="72"/>
        <v>0</v>
      </c>
    </row>
    <row r="62" spans="1:46" s="6" customFormat="1" ht="15" customHeight="1">
      <c r="A62" s="1841" t="s">
        <v>739</v>
      </c>
      <c r="B62" s="1842"/>
      <c r="C62" s="1387">
        <f>SUM(D62:E62)</f>
        <v>0</v>
      </c>
      <c r="D62" s="1433">
        <f t="shared" si="73"/>
        <v>0</v>
      </c>
      <c r="E62" s="1387">
        <f t="shared" si="59"/>
        <v>0</v>
      </c>
      <c r="F62" s="1387">
        <f>SUM(G62:H62)</f>
        <v>0</v>
      </c>
      <c r="G62" s="1414"/>
      <c r="H62" s="1340"/>
      <c r="I62" s="1413">
        <f>SUM(J62:K62)</f>
        <v>0</v>
      </c>
      <c r="J62" s="1414"/>
      <c r="K62" s="1341"/>
      <c r="L62" s="1416">
        <f>SUM(M62:N62)</f>
        <v>0</v>
      </c>
      <c r="M62" s="1414"/>
      <c r="N62" s="1340"/>
      <c r="O62" s="1411">
        <f>SUM(P62:Q62)</f>
        <v>0</v>
      </c>
      <c r="P62" s="1414"/>
      <c r="Q62" s="1340"/>
      <c r="R62" s="6" t="str">
        <f t="shared" si="64"/>
        <v/>
      </c>
      <c r="X62" s="5"/>
      <c r="Y62" s="5"/>
      <c r="Z62" s="5"/>
      <c r="AA62" s="5"/>
      <c r="AB62" s="5"/>
      <c r="AC62" s="5"/>
      <c r="AD62" s="5"/>
      <c r="AE62" s="5"/>
      <c r="AF62" s="5"/>
      <c r="AG62" s="5"/>
      <c r="AH62" s="5"/>
      <c r="AI62" s="5"/>
      <c r="AJ62" s="142" t="str">
        <f t="shared" si="65"/>
        <v/>
      </c>
      <c r="AK62" s="142" t="str">
        <f t="shared" si="66"/>
        <v/>
      </c>
      <c r="AL62" s="142" t="str">
        <f t="shared" si="67"/>
        <v/>
      </c>
      <c r="AM62" s="1359" t="str">
        <f t="shared" si="68"/>
        <v/>
      </c>
      <c r="AN62" s="5"/>
      <c r="AO62" s="5"/>
      <c r="AP62" s="5"/>
      <c r="AQ62" s="34">
        <f t="shared" si="69"/>
        <v>0</v>
      </c>
      <c r="AR62" s="34">
        <f t="shared" si="70"/>
        <v>0</v>
      </c>
      <c r="AS62" s="34">
        <f t="shared" si="71"/>
        <v>0</v>
      </c>
      <c r="AT62" s="34">
        <f t="shared" si="72"/>
        <v>0</v>
      </c>
    </row>
    <row r="63" spans="1:46" s="6" customFormat="1" ht="15" customHeight="1">
      <c r="A63" s="1841" t="s">
        <v>740</v>
      </c>
      <c r="B63" s="1842"/>
      <c r="C63" s="1387">
        <f t="shared" si="58"/>
        <v>0</v>
      </c>
      <c r="D63" s="1433">
        <f t="shared" si="73"/>
        <v>0</v>
      </c>
      <c r="E63" s="1387">
        <f t="shared" si="59"/>
        <v>0</v>
      </c>
      <c r="F63" s="1387">
        <f t="shared" si="60"/>
        <v>0</v>
      </c>
      <c r="G63" s="1414"/>
      <c r="H63" s="1340"/>
      <c r="I63" s="1413">
        <f t="shared" si="61"/>
        <v>0</v>
      </c>
      <c r="J63" s="1414"/>
      <c r="K63" s="1341"/>
      <c r="L63" s="1416">
        <f t="shared" si="62"/>
        <v>0</v>
      </c>
      <c r="M63" s="1414"/>
      <c r="N63" s="1340"/>
      <c r="O63" s="1411">
        <f t="shared" si="63"/>
        <v>0</v>
      </c>
      <c r="P63" s="1414"/>
      <c r="Q63" s="1340"/>
      <c r="R63" s="6" t="str">
        <f t="shared" si="64"/>
        <v/>
      </c>
      <c r="X63" s="5"/>
      <c r="Y63" s="5"/>
      <c r="Z63" s="5"/>
      <c r="AA63" s="5"/>
      <c r="AB63" s="5"/>
      <c r="AC63" s="5"/>
      <c r="AD63" s="5"/>
      <c r="AE63" s="5"/>
      <c r="AF63" s="5"/>
      <c r="AG63" s="5"/>
      <c r="AH63" s="5"/>
      <c r="AI63" s="5"/>
      <c r="AJ63" s="142" t="str">
        <f t="shared" si="65"/>
        <v/>
      </c>
      <c r="AK63" s="142" t="str">
        <f t="shared" si="66"/>
        <v/>
      </c>
      <c r="AL63" s="142" t="str">
        <f t="shared" si="67"/>
        <v/>
      </c>
      <c r="AM63" s="1359" t="str">
        <f t="shared" si="68"/>
        <v/>
      </c>
      <c r="AN63" s="5"/>
      <c r="AO63" s="5"/>
      <c r="AP63" s="5"/>
      <c r="AQ63" s="34">
        <f t="shared" si="69"/>
        <v>0</v>
      </c>
      <c r="AR63" s="34">
        <f t="shared" si="70"/>
        <v>0</v>
      </c>
      <c r="AS63" s="34">
        <f t="shared" si="71"/>
        <v>0</v>
      </c>
      <c r="AT63" s="34">
        <f t="shared" si="72"/>
        <v>0</v>
      </c>
    </row>
    <row r="64" spans="1:46" s="6" customFormat="1" ht="15" customHeight="1">
      <c r="A64" s="2283" t="s">
        <v>741</v>
      </c>
      <c r="B64" s="2284"/>
      <c r="C64" s="1413">
        <f t="shared" si="58"/>
        <v>0</v>
      </c>
      <c r="D64" s="1412">
        <f t="shared" si="73"/>
        <v>0</v>
      </c>
      <c r="E64" s="1411">
        <f t="shared" si="59"/>
        <v>0</v>
      </c>
      <c r="F64" s="1413">
        <f t="shared" si="60"/>
        <v>0</v>
      </c>
      <c r="G64" s="1414"/>
      <c r="H64" s="1340"/>
      <c r="I64" s="1413">
        <f t="shared" si="61"/>
        <v>0</v>
      </c>
      <c r="J64" s="1414"/>
      <c r="K64" s="1341"/>
      <c r="L64" s="1416">
        <f t="shared" si="62"/>
        <v>0</v>
      </c>
      <c r="M64" s="1414"/>
      <c r="N64" s="1340"/>
      <c r="O64" s="1411">
        <f t="shared" si="63"/>
        <v>0</v>
      </c>
      <c r="P64" s="1414"/>
      <c r="Q64" s="1340"/>
      <c r="R64" s="6" t="str">
        <f t="shared" si="64"/>
        <v/>
      </c>
      <c r="X64" s="5"/>
      <c r="Y64" s="5"/>
      <c r="Z64" s="5"/>
      <c r="AA64" s="5"/>
      <c r="AB64" s="5"/>
      <c r="AC64" s="5"/>
      <c r="AD64" s="5"/>
      <c r="AE64" s="5"/>
      <c r="AF64" s="5"/>
      <c r="AG64" s="5"/>
      <c r="AH64" s="5"/>
      <c r="AI64" s="5"/>
      <c r="AJ64" s="142" t="str">
        <f t="shared" si="65"/>
        <v/>
      </c>
      <c r="AK64" s="142" t="str">
        <f t="shared" si="66"/>
        <v/>
      </c>
      <c r="AL64" s="142" t="str">
        <f t="shared" si="67"/>
        <v/>
      </c>
      <c r="AM64" s="1359" t="str">
        <f t="shared" si="68"/>
        <v/>
      </c>
      <c r="AN64" s="5"/>
      <c r="AO64" s="5"/>
      <c r="AP64" s="5"/>
      <c r="AQ64" s="34">
        <f t="shared" si="69"/>
        <v>0</v>
      </c>
      <c r="AR64" s="34">
        <f t="shared" si="70"/>
        <v>0</v>
      </c>
      <c r="AS64" s="34">
        <f t="shared" si="71"/>
        <v>0</v>
      </c>
      <c r="AT64" s="34">
        <f t="shared" si="72"/>
        <v>0</v>
      </c>
    </row>
    <row r="65" spans="1:46" s="6" customFormat="1" ht="15" customHeight="1">
      <c r="A65" s="2283" t="s">
        <v>742</v>
      </c>
      <c r="B65" s="2284"/>
      <c r="C65" s="1413">
        <f t="shared" si="58"/>
        <v>0</v>
      </c>
      <c r="D65" s="1412">
        <f t="shared" si="73"/>
        <v>0</v>
      </c>
      <c r="E65" s="1411">
        <f t="shared" si="59"/>
        <v>0</v>
      </c>
      <c r="F65" s="1413">
        <f t="shared" si="60"/>
        <v>0</v>
      </c>
      <c r="G65" s="1434"/>
      <c r="H65" s="1321"/>
      <c r="I65" s="1413">
        <f t="shared" si="61"/>
        <v>0</v>
      </c>
      <c r="J65" s="1434"/>
      <c r="K65" s="1385"/>
      <c r="L65" s="1416">
        <f t="shared" si="62"/>
        <v>0</v>
      </c>
      <c r="M65" s="1434"/>
      <c r="N65" s="1321"/>
      <c r="O65" s="1411">
        <f t="shared" si="63"/>
        <v>0</v>
      </c>
      <c r="P65" s="1434"/>
      <c r="Q65" s="1321"/>
      <c r="R65" s="6" t="str">
        <f t="shared" si="64"/>
        <v/>
      </c>
      <c r="X65" s="5"/>
      <c r="Y65" s="5"/>
      <c r="Z65" s="5"/>
      <c r="AA65" s="5"/>
      <c r="AB65" s="5"/>
      <c r="AC65" s="5"/>
      <c r="AD65" s="5"/>
      <c r="AE65" s="5"/>
      <c r="AF65" s="5"/>
      <c r="AG65" s="5"/>
      <c r="AH65" s="5"/>
      <c r="AI65" s="5"/>
      <c r="AJ65" s="142" t="str">
        <f t="shared" si="65"/>
        <v/>
      </c>
      <c r="AK65" s="142" t="str">
        <f t="shared" si="66"/>
        <v/>
      </c>
      <c r="AL65" s="142" t="str">
        <f t="shared" si="67"/>
        <v/>
      </c>
      <c r="AM65" s="1359" t="str">
        <f t="shared" si="68"/>
        <v/>
      </c>
      <c r="AN65" s="5"/>
      <c r="AO65" s="5"/>
      <c r="AP65" s="5"/>
      <c r="AQ65" s="34">
        <f t="shared" si="69"/>
        <v>0</v>
      </c>
      <c r="AR65" s="34">
        <f t="shared" si="70"/>
        <v>0</v>
      </c>
      <c r="AS65" s="34">
        <f t="shared" si="71"/>
        <v>0</v>
      </c>
      <c r="AT65" s="34">
        <f t="shared" si="72"/>
        <v>0</v>
      </c>
    </row>
    <row r="66" spans="1:46" s="6" customFormat="1" ht="15" customHeight="1">
      <c r="A66" s="2283" t="s">
        <v>743</v>
      </c>
      <c r="B66" s="2284"/>
      <c r="C66" s="1413">
        <f t="shared" si="58"/>
        <v>0</v>
      </c>
      <c r="D66" s="1412">
        <f>+G66+J66</f>
        <v>0</v>
      </c>
      <c r="E66" s="1411">
        <f t="shared" si="59"/>
        <v>0</v>
      </c>
      <c r="F66" s="1413">
        <f t="shared" si="60"/>
        <v>0</v>
      </c>
      <c r="G66" s="1434"/>
      <c r="H66" s="1321"/>
      <c r="I66" s="1413">
        <f t="shared" si="61"/>
        <v>0</v>
      </c>
      <c r="J66" s="1434"/>
      <c r="K66" s="1385"/>
      <c r="L66" s="1416">
        <f t="shared" si="62"/>
        <v>0</v>
      </c>
      <c r="M66" s="1434"/>
      <c r="N66" s="1321"/>
      <c r="O66" s="1411">
        <f t="shared" si="63"/>
        <v>0</v>
      </c>
      <c r="P66" s="1434"/>
      <c r="Q66" s="1321"/>
      <c r="R66" s="6" t="str">
        <f t="shared" si="64"/>
        <v/>
      </c>
      <c r="X66" s="5"/>
      <c r="Y66" s="5"/>
      <c r="Z66" s="5"/>
      <c r="AA66" s="5"/>
      <c r="AB66" s="5"/>
      <c r="AC66" s="5"/>
      <c r="AD66" s="5"/>
      <c r="AE66" s="5"/>
      <c r="AF66" s="5"/>
      <c r="AG66" s="5"/>
      <c r="AH66" s="5"/>
      <c r="AI66" s="5"/>
      <c r="AJ66" s="142" t="str">
        <f t="shared" si="65"/>
        <v/>
      </c>
      <c r="AK66" s="142" t="str">
        <f t="shared" si="66"/>
        <v/>
      </c>
      <c r="AL66" s="142" t="str">
        <f t="shared" si="67"/>
        <v/>
      </c>
      <c r="AM66" s="1359" t="str">
        <f t="shared" si="68"/>
        <v/>
      </c>
      <c r="AN66" s="5"/>
      <c r="AO66" s="5"/>
      <c r="AP66" s="5"/>
      <c r="AQ66" s="34">
        <f t="shared" si="69"/>
        <v>0</v>
      </c>
      <c r="AR66" s="34">
        <f t="shared" si="70"/>
        <v>0</v>
      </c>
      <c r="AS66" s="34">
        <f t="shared" si="71"/>
        <v>0</v>
      </c>
      <c r="AT66" s="34">
        <f t="shared" si="72"/>
        <v>0</v>
      </c>
    </row>
    <row r="67" spans="1:46" s="6" customFormat="1" ht="15" customHeight="1">
      <c r="A67" s="2290" t="s">
        <v>744</v>
      </c>
      <c r="B67" s="2291"/>
      <c r="C67" s="1435">
        <f t="shared" si="58"/>
        <v>0</v>
      </c>
      <c r="D67" s="1436">
        <f t="shared" si="73"/>
        <v>0</v>
      </c>
      <c r="E67" s="1437">
        <f t="shared" si="59"/>
        <v>0</v>
      </c>
      <c r="F67" s="1435">
        <f t="shared" si="60"/>
        <v>0</v>
      </c>
      <c r="G67" s="1438"/>
      <c r="H67" s="1424"/>
      <c r="I67" s="1435">
        <f t="shared" si="61"/>
        <v>0</v>
      </c>
      <c r="J67" s="1423"/>
      <c r="K67" s="1439"/>
      <c r="L67" s="1440">
        <f t="shared" si="62"/>
        <v>0</v>
      </c>
      <c r="M67" s="1423"/>
      <c r="N67" s="1424"/>
      <c r="O67" s="1437">
        <f t="shared" si="63"/>
        <v>0</v>
      </c>
      <c r="P67" s="1423"/>
      <c r="Q67" s="1424"/>
      <c r="R67" s="6" t="str">
        <f t="shared" si="64"/>
        <v/>
      </c>
      <c r="X67" s="5"/>
      <c r="Y67" s="5"/>
      <c r="Z67" s="5"/>
      <c r="AA67" s="5"/>
      <c r="AB67" s="5"/>
      <c r="AC67" s="5"/>
      <c r="AD67" s="5"/>
      <c r="AE67" s="5"/>
      <c r="AF67" s="5"/>
      <c r="AG67" s="5"/>
      <c r="AH67" s="5"/>
      <c r="AI67" s="5"/>
      <c r="AJ67" s="142" t="str">
        <f t="shared" si="65"/>
        <v/>
      </c>
      <c r="AK67" s="142" t="str">
        <f t="shared" si="66"/>
        <v/>
      </c>
      <c r="AL67" s="142" t="str">
        <f t="shared" si="67"/>
        <v/>
      </c>
      <c r="AM67" s="1359" t="str">
        <f t="shared" si="68"/>
        <v/>
      </c>
      <c r="AN67" s="5"/>
      <c r="AO67" s="5"/>
      <c r="AP67" s="5"/>
      <c r="AQ67" s="34">
        <f t="shared" si="69"/>
        <v>0</v>
      </c>
      <c r="AR67" s="34">
        <f t="shared" si="70"/>
        <v>0</v>
      </c>
      <c r="AS67" s="34">
        <f t="shared" si="71"/>
        <v>0</v>
      </c>
      <c r="AT67" s="34">
        <f t="shared" si="72"/>
        <v>0</v>
      </c>
    </row>
    <row r="68" spans="1:46" s="6" customFormat="1" ht="17.149999999999999" customHeight="1">
      <c r="A68" s="2285" t="s">
        <v>745</v>
      </c>
      <c r="B68" s="2285"/>
      <c r="C68" s="2285"/>
      <c r="D68" s="2285"/>
      <c r="E68" s="2285"/>
      <c r="F68" s="2285"/>
      <c r="G68" s="2285"/>
      <c r="H68" s="2285"/>
      <c r="I68" s="2285"/>
      <c r="J68" s="2285"/>
      <c r="K68" s="2285"/>
      <c r="L68" s="2285"/>
      <c r="M68" s="2285"/>
      <c r="N68" s="2285"/>
      <c r="O68" s="2285"/>
      <c r="P68" s="2285"/>
      <c r="Q68" s="2285"/>
      <c r="AA68" s="5"/>
      <c r="AB68" s="5"/>
      <c r="AC68" s="5"/>
      <c r="AD68" s="5"/>
      <c r="AE68" s="5"/>
      <c r="AF68" s="5"/>
      <c r="AG68" s="5"/>
      <c r="AH68" s="5"/>
      <c r="AI68" s="5"/>
      <c r="AJ68" s="5"/>
      <c r="AK68" s="5"/>
      <c r="AL68" s="5"/>
    </row>
    <row r="69" spans="1:46" s="6" customFormat="1" ht="17.25" customHeight="1">
      <c r="A69" s="2292" t="s">
        <v>746</v>
      </c>
      <c r="B69" s="2293"/>
      <c r="C69" s="2296" t="s">
        <v>5</v>
      </c>
      <c r="D69" s="2297"/>
      <c r="E69" s="2298"/>
      <c r="F69" s="2280" t="s">
        <v>747</v>
      </c>
      <c r="G69" s="2281"/>
      <c r="H69" s="2282"/>
      <c r="I69" s="2280" t="s">
        <v>748</v>
      </c>
      <c r="J69" s="2281"/>
      <c r="K69" s="2288"/>
      <c r="L69" s="2281" t="s">
        <v>691</v>
      </c>
      <c r="M69" s="2281"/>
      <c r="N69" s="2282"/>
      <c r="O69" s="2280" t="s">
        <v>8</v>
      </c>
      <c r="P69" s="2281"/>
      <c r="Q69" s="2282"/>
      <c r="X69" s="5"/>
      <c r="Y69" s="5"/>
      <c r="Z69" s="5"/>
      <c r="AA69" s="5"/>
      <c r="AB69" s="5"/>
      <c r="AC69" s="5"/>
      <c r="AD69" s="5"/>
      <c r="AE69" s="5"/>
      <c r="AF69" s="5"/>
      <c r="AG69" s="5"/>
      <c r="AH69" s="5"/>
      <c r="AI69" s="5"/>
      <c r="AJ69" s="5"/>
      <c r="AK69" s="5"/>
      <c r="AL69" s="5"/>
    </row>
    <row r="70" spans="1:46" s="6" customFormat="1" ht="29.25" customHeight="1">
      <c r="A70" s="2294"/>
      <c r="B70" s="2295"/>
      <c r="C70" s="1297" t="s">
        <v>178</v>
      </c>
      <c r="D70" s="1297" t="s">
        <v>726</v>
      </c>
      <c r="E70" s="1427" t="s">
        <v>41</v>
      </c>
      <c r="F70" s="1297" t="s">
        <v>178</v>
      </c>
      <c r="G70" s="1297" t="s">
        <v>726</v>
      </c>
      <c r="H70" s="1427" t="s">
        <v>41</v>
      </c>
      <c r="I70" s="1297" t="s">
        <v>178</v>
      </c>
      <c r="J70" s="1297" t="s">
        <v>726</v>
      </c>
      <c r="K70" s="1441" t="s">
        <v>41</v>
      </c>
      <c r="L70" s="1306" t="s">
        <v>178</v>
      </c>
      <c r="M70" s="1297" t="s">
        <v>726</v>
      </c>
      <c r="N70" s="1427" t="s">
        <v>41</v>
      </c>
      <c r="O70" s="1297" t="s">
        <v>178</v>
      </c>
      <c r="P70" s="1297" t="s">
        <v>726</v>
      </c>
      <c r="Q70" s="1427" t="s">
        <v>41</v>
      </c>
      <c r="X70" s="5"/>
      <c r="Y70" s="5"/>
      <c r="Z70" s="5"/>
      <c r="AA70" s="5"/>
      <c r="AB70" s="5"/>
      <c r="AC70" s="5"/>
      <c r="AD70" s="5"/>
      <c r="AE70" s="5"/>
      <c r="AF70" s="5"/>
      <c r="AG70" s="5"/>
      <c r="AH70" s="5"/>
      <c r="AI70" s="5"/>
      <c r="AJ70" s="5"/>
      <c r="AK70" s="5"/>
      <c r="AL70" s="5"/>
    </row>
    <row r="71" spans="1:46" s="6" customFormat="1" ht="15" customHeight="1">
      <c r="A71" s="2301" t="s">
        <v>749</v>
      </c>
      <c r="B71" s="2302"/>
      <c r="C71" s="1430">
        <f>SUM(D71:E71)</f>
        <v>0</v>
      </c>
      <c r="D71" s="1429">
        <f>+G71+J71</f>
        <v>0</v>
      </c>
      <c r="E71" s="1430">
        <f>+H71+K71</f>
        <v>0</v>
      </c>
      <c r="F71" s="1387">
        <f>SUM(G71:H71)</f>
        <v>0</v>
      </c>
      <c r="G71" s="1339"/>
      <c r="H71" s="1340"/>
      <c r="I71" s="1387">
        <f>SUM(J71:K71)</f>
        <v>0</v>
      </c>
      <c r="J71" s="1339"/>
      <c r="K71" s="1341"/>
      <c r="L71" s="1362">
        <f>SUM(M71:N71)</f>
        <v>0</v>
      </c>
      <c r="M71" s="1339"/>
      <c r="N71" s="1340"/>
      <c r="O71" s="1363">
        <f>SUM(P71:Q71)</f>
        <v>0</v>
      </c>
      <c r="P71" s="1339"/>
      <c r="Q71" s="1340"/>
      <c r="R71" s="6" t="str">
        <f t="shared" ref="R71:R78" si="74">AJ71&amp;AK71&amp;AL71&amp;AM71</f>
        <v/>
      </c>
      <c r="X71" s="5"/>
      <c r="Y71" s="5"/>
      <c r="Z71" s="5"/>
      <c r="AA71" s="5"/>
      <c r="AB71" s="5"/>
      <c r="AC71" s="5"/>
      <c r="AD71" s="5"/>
      <c r="AE71" s="5"/>
      <c r="AF71" s="5"/>
      <c r="AG71" s="5"/>
      <c r="AH71" s="5"/>
      <c r="AI71" s="5"/>
      <c r="AJ71" s="142" t="str">
        <f t="shared" ref="AJ71:AJ78" si="75">IF(AND(D71&gt;0,OR(M71=""))," * No olvide digitar la variable Pueblos Originarios Hombres. Digite Cero si no tiene.",IF(M71&gt;D71," * La variable Pueblos Originarios Hombres no puede ser Mayor al Total Hombres.",""))</f>
        <v/>
      </c>
      <c r="AK71" s="142" t="str">
        <f t="shared" ref="AK71:AK78" si="76">IF(AND(E71&gt;0,OR(N71=""))," * No olvide digitar la variable Pueblos Originarios Mujeres. Digite Cero si no tiene.",IF(N71&gt;E71," * La variable Pueblos Originarios Mujeres no puede ser Mayor al Total Mujeres.",""))</f>
        <v/>
      </c>
      <c r="AL71" s="142" t="str">
        <f t="shared" ref="AL71:AL78" si="77">IF(AND($D71&gt;0,OR(P71=""))," * No olvide digitar la variable Migrantes Hombres. Digite Cero si no tiene.",IF(P71&gt;$D71," * La variable Migrantes Hombres no puede ser Mayor al Total Hombres.",""))</f>
        <v/>
      </c>
      <c r="AM71" s="1359" t="str">
        <f t="shared" ref="AM71:AM78" si="78">IF(AND($E71&gt;0,OR(Q71=""))," * No olvide digitar la variable Migrantes Mujeres. Digite Cero si no tiene.",IF(Q71&gt;$E71," * La variable Migrantes Mujeres no puede ser Mayor al Total Mujeres.",""))</f>
        <v/>
      </c>
      <c r="AN71" s="5"/>
      <c r="AO71" s="5"/>
      <c r="AP71" s="5"/>
      <c r="AQ71" s="34">
        <f t="shared" ref="AQ71:AQ78" si="79">IF(AND($D71&gt;0,OR(M71="")),1,IF(M71&gt;$D71,1,0))</f>
        <v>0</v>
      </c>
      <c r="AR71" s="34">
        <f t="shared" ref="AR71:AR78" si="80">IF(AND($E71&gt;0,OR(N71="")),1,IF(N71&gt;$E71,1,0))</f>
        <v>0</v>
      </c>
      <c r="AS71" s="34">
        <f t="shared" ref="AS71:AS78" si="81">IF(AND($D71&gt;0,OR(P71="")),1,IF(P71&gt;$D71,1,0))</f>
        <v>0</v>
      </c>
      <c r="AT71" s="34">
        <f t="shared" ref="AT71:AT78" si="82">IF(AND($E71&gt;0,OR(Q71="")),1,IF(Q71&gt;$E71,1,0))</f>
        <v>0</v>
      </c>
    </row>
    <row r="72" spans="1:46" s="6" customFormat="1" ht="15" customHeight="1">
      <c r="A72" s="2283" t="s">
        <v>750</v>
      </c>
      <c r="B72" s="2284"/>
      <c r="C72" s="1411">
        <f t="shared" ref="C72:C75" si="83">SUM(D72:E72)</f>
        <v>0</v>
      </c>
      <c r="D72" s="1412">
        <f t="shared" ref="D72:E78" si="84">+G72+J72</f>
        <v>0</v>
      </c>
      <c r="E72" s="1411">
        <f t="shared" si="84"/>
        <v>0</v>
      </c>
      <c r="F72" s="1387">
        <f t="shared" ref="F72:F78" si="85">SUM(G72:H72)</f>
        <v>0</v>
      </c>
      <c r="G72" s="1339"/>
      <c r="H72" s="1340"/>
      <c r="I72" s="1387">
        <f t="shared" ref="I72:I78" si="86">SUM(J72:K72)</f>
        <v>0</v>
      </c>
      <c r="J72" s="1339"/>
      <c r="K72" s="1341"/>
      <c r="L72" s="1386">
        <f t="shared" ref="L72:L78" si="87">SUM(M72:N72)</f>
        <v>0</v>
      </c>
      <c r="M72" s="1339"/>
      <c r="N72" s="1340"/>
      <c r="O72" s="1387">
        <f t="shared" ref="O72:O78" si="88">SUM(P72:Q72)</f>
        <v>0</v>
      </c>
      <c r="P72" s="1339"/>
      <c r="Q72" s="1340"/>
      <c r="R72" s="6" t="str">
        <f t="shared" si="74"/>
        <v/>
      </c>
      <c r="X72" s="5"/>
      <c r="Y72" s="5"/>
      <c r="Z72" s="5"/>
      <c r="AA72" s="5"/>
      <c r="AB72" s="5"/>
      <c r="AC72" s="5"/>
      <c r="AD72" s="5"/>
      <c r="AE72" s="5"/>
      <c r="AF72" s="5"/>
      <c r="AG72" s="5"/>
      <c r="AH72" s="5"/>
      <c r="AI72" s="5"/>
      <c r="AJ72" s="142" t="str">
        <f t="shared" si="75"/>
        <v/>
      </c>
      <c r="AK72" s="142" t="str">
        <f t="shared" si="76"/>
        <v/>
      </c>
      <c r="AL72" s="142" t="str">
        <f t="shared" si="77"/>
        <v/>
      </c>
      <c r="AM72" s="1359" t="str">
        <f t="shared" si="78"/>
        <v/>
      </c>
      <c r="AN72" s="5"/>
      <c r="AO72" s="5"/>
      <c r="AP72" s="5"/>
      <c r="AQ72" s="34">
        <f t="shared" si="79"/>
        <v>0</v>
      </c>
      <c r="AR72" s="34">
        <f t="shared" si="80"/>
        <v>0</v>
      </c>
      <c r="AS72" s="34">
        <f t="shared" si="81"/>
        <v>0</v>
      </c>
      <c r="AT72" s="34">
        <f t="shared" si="82"/>
        <v>0</v>
      </c>
    </row>
    <row r="73" spans="1:46" s="6" customFormat="1" ht="15" customHeight="1">
      <c r="A73" s="2283" t="s">
        <v>751</v>
      </c>
      <c r="B73" s="2284"/>
      <c r="C73" s="1411">
        <f t="shared" si="83"/>
        <v>0</v>
      </c>
      <c r="D73" s="1412">
        <f t="shared" si="84"/>
        <v>0</v>
      </c>
      <c r="E73" s="1411">
        <f t="shared" si="84"/>
        <v>0</v>
      </c>
      <c r="F73" s="1387">
        <f t="shared" si="85"/>
        <v>0</v>
      </c>
      <c r="G73" s="1339"/>
      <c r="H73" s="1340"/>
      <c r="I73" s="1387">
        <f t="shared" si="86"/>
        <v>0</v>
      </c>
      <c r="J73" s="1339"/>
      <c r="K73" s="1341"/>
      <c r="L73" s="1386">
        <f t="shared" si="87"/>
        <v>0</v>
      </c>
      <c r="M73" s="1339"/>
      <c r="N73" s="1340"/>
      <c r="O73" s="1387">
        <f t="shared" si="88"/>
        <v>0</v>
      </c>
      <c r="P73" s="1339"/>
      <c r="Q73" s="1340"/>
      <c r="R73" s="6" t="str">
        <f t="shared" si="74"/>
        <v/>
      </c>
      <c r="X73" s="5"/>
      <c r="Y73" s="5"/>
      <c r="Z73" s="5"/>
      <c r="AA73" s="5"/>
      <c r="AB73" s="5"/>
      <c r="AC73" s="5"/>
      <c r="AD73" s="5"/>
      <c r="AE73" s="5"/>
      <c r="AF73" s="5"/>
      <c r="AG73" s="5"/>
      <c r="AH73" s="5"/>
      <c r="AI73" s="5"/>
      <c r="AJ73" s="142" t="str">
        <f t="shared" si="75"/>
        <v/>
      </c>
      <c r="AK73" s="142" t="str">
        <f t="shared" si="76"/>
        <v/>
      </c>
      <c r="AL73" s="142" t="str">
        <f t="shared" si="77"/>
        <v/>
      </c>
      <c r="AM73" s="1359" t="str">
        <f t="shared" si="78"/>
        <v/>
      </c>
      <c r="AN73" s="5"/>
      <c r="AO73" s="5"/>
      <c r="AP73" s="5"/>
      <c r="AQ73" s="34">
        <f t="shared" si="79"/>
        <v>0</v>
      </c>
      <c r="AR73" s="34">
        <f t="shared" si="80"/>
        <v>0</v>
      </c>
      <c r="AS73" s="34">
        <f t="shared" si="81"/>
        <v>0</v>
      </c>
      <c r="AT73" s="34">
        <f t="shared" si="82"/>
        <v>0</v>
      </c>
    </row>
    <row r="74" spans="1:46" s="6" customFormat="1" ht="15" customHeight="1">
      <c r="A74" s="2283" t="s">
        <v>752</v>
      </c>
      <c r="B74" s="2284"/>
      <c r="C74" s="1411">
        <f t="shared" si="83"/>
        <v>0</v>
      </c>
      <c r="D74" s="1412">
        <f t="shared" si="84"/>
        <v>0</v>
      </c>
      <c r="E74" s="1411">
        <f t="shared" si="84"/>
        <v>0</v>
      </c>
      <c r="F74" s="1387">
        <f t="shared" si="85"/>
        <v>0</v>
      </c>
      <c r="G74" s="1339"/>
      <c r="H74" s="1340"/>
      <c r="I74" s="1387">
        <f t="shared" si="86"/>
        <v>0</v>
      </c>
      <c r="J74" s="1339"/>
      <c r="K74" s="1341"/>
      <c r="L74" s="1386">
        <f t="shared" si="87"/>
        <v>0</v>
      </c>
      <c r="M74" s="1339"/>
      <c r="N74" s="1340"/>
      <c r="O74" s="1387">
        <f t="shared" si="88"/>
        <v>0</v>
      </c>
      <c r="P74" s="1339"/>
      <c r="Q74" s="1340"/>
      <c r="R74" s="6" t="str">
        <f t="shared" si="74"/>
        <v/>
      </c>
      <c r="X74" s="5"/>
      <c r="Y74" s="5"/>
      <c r="Z74" s="5"/>
      <c r="AA74" s="5"/>
      <c r="AB74" s="5"/>
      <c r="AC74" s="5"/>
      <c r="AD74" s="5"/>
      <c r="AE74" s="5"/>
      <c r="AF74" s="5"/>
      <c r="AG74" s="5"/>
      <c r="AH74" s="5"/>
      <c r="AI74" s="5"/>
      <c r="AJ74" s="142" t="str">
        <f t="shared" si="75"/>
        <v/>
      </c>
      <c r="AK74" s="142" t="str">
        <f t="shared" si="76"/>
        <v/>
      </c>
      <c r="AL74" s="142" t="str">
        <f t="shared" si="77"/>
        <v/>
      </c>
      <c r="AM74" s="1359" t="str">
        <f t="shared" si="78"/>
        <v/>
      </c>
      <c r="AN74" s="5"/>
      <c r="AO74" s="5"/>
      <c r="AP74" s="5"/>
      <c r="AQ74" s="34">
        <f t="shared" si="79"/>
        <v>0</v>
      </c>
      <c r="AR74" s="34">
        <f t="shared" si="80"/>
        <v>0</v>
      </c>
      <c r="AS74" s="34">
        <f t="shared" si="81"/>
        <v>0</v>
      </c>
      <c r="AT74" s="34">
        <f t="shared" si="82"/>
        <v>0</v>
      </c>
    </row>
    <row r="75" spans="1:46" s="6" customFormat="1" ht="15" customHeight="1">
      <c r="A75" s="1841" t="s">
        <v>753</v>
      </c>
      <c r="B75" s="1842"/>
      <c r="C75" s="1387">
        <f t="shared" si="83"/>
        <v>0</v>
      </c>
      <c r="D75" s="1433">
        <f t="shared" si="84"/>
        <v>0</v>
      </c>
      <c r="E75" s="1387">
        <f t="shared" si="84"/>
        <v>0</v>
      </c>
      <c r="F75" s="1387">
        <f t="shared" si="85"/>
        <v>0</v>
      </c>
      <c r="G75" s="1339"/>
      <c r="H75" s="1340"/>
      <c r="I75" s="1387">
        <f t="shared" si="86"/>
        <v>0</v>
      </c>
      <c r="J75" s="1339"/>
      <c r="K75" s="1341"/>
      <c r="L75" s="1386">
        <f t="shared" si="87"/>
        <v>0</v>
      </c>
      <c r="M75" s="1339"/>
      <c r="N75" s="1340"/>
      <c r="O75" s="1387">
        <f t="shared" si="88"/>
        <v>0</v>
      </c>
      <c r="P75" s="1339"/>
      <c r="Q75" s="1340"/>
      <c r="R75" s="6" t="str">
        <f t="shared" si="74"/>
        <v/>
      </c>
      <c r="X75" s="5"/>
      <c r="Y75" s="5"/>
      <c r="Z75" s="5"/>
      <c r="AA75" s="5"/>
      <c r="AB75" s="5"/>
      <c r="AC75" s="5"/>
      <c r="AD75" s="5"/>
      <c r="AE75" s="5"/>
      <c r="AF75" s="5"/>
      <c r="AG75" s="5"/>
      <c r="AH75" s="5"/>
      <c r="AI75" s="5"/>
      <c r="AJ75" s="142" t="str">
        <f t="shared" si="75"/>
        <v/>
      </c>
      <c r="AK75" s="142" t="str">
        <f t="shared" si="76"/>
        <v/>
      </c>
      <c r="AL75" s="142" t="str">
        <f t="shared" si="77"/>
        <v/>
      </c>
      <c r="AM75" s="1359" t="str">
        <f t="shared" si="78"/>
        <v/>
      </c>
      <c r="AN75" s="5"/>
      <c r="AO75" s="5"/>
      <c r="AP75" s="5"/>
      <c r="AQ75" s="34">
        <f t="shared" si="79"/>
        <v>0</v>
      </c>
      <c r="AR75" s="34">
        <f t="shared" si="80"/>
        <v>0</v>
      </c>
      <c r="AS75" s="34">
        <f t="shared" si="81"/>
        <v>0</v>
      </c>
      <c r="AT75" s="34">
        <f t="shared" si="82"/>
        <v>0</v>
      </c>
    </row>
    <row r="76" spans="1:46" s="6" customFormat="1" ht="15" customHeight="1">
      <c r="A76" s="2283" t="s">
        <v>754</v>
      </c>
      <c r="B76" s="2284"/>
      <c r="C76" s="1411">
        <f>SUM(D76:E76)</f>
        <v>0</v>
      </c>
      <c r="D76" s="1412">
        <f>+G76+J76</f>
        <v>0</v>
      </c>
      <c r="E76" s="1411">
        <f t="shared" si="84"/>
        <v>0</v>
      </c>
      <c r="F76" s="1387">
        <f t="shared" si="85"/>
        <v>0</v>
      </c>
      <c r="G76" s="1339"/>
      <c r="H76" s="1340"/>
      <c r="I76" s="1387">
        <f t="shared" si="86"/>
        <v>0</v>
      </c>
      <c r="J76" s="1339"/>
      <c r="K76" s="1341"/>
      <c r="L76" s="1386">
        <f t="shared" si="87"/>
        <v>0</v>
      </c>
      <c r="M76" s="1339"/>
      <c r="N76" s="1340"/>
      <c r="O76" s="1387">
        <f t="shared" si="88"/>
        <v>0</v>
      </c>
      <c r="P76" s="1339"/>
      <c r="Q76" s="1340"/>
      <c r="R76" s="6" t="str">
        <f t="shared" si="74"/>
        <v/>
      </c>
      <c r="X76" s="5"/>
      <c r="Y76" s="5"/>
      <c r="Z76" s="5"/>
      <c r="AA76" s="5"/>
      <c r="AB76" s="5"/>
      <c r="AC76" s="5"/>
      <c r="AD76" s="5"/>
      <c r="AE76" s="5"/>
      <c r="AF76" s="5"/>
      <c r="AG76" s="5"/>
      <c r="AH76" s="5"/>
      <c r="AI76" s="5"/>
      <c r="AJ76" s="142" t="str">
        <f t="shared" si="75"/>
        <v/>
      </c>
      <c r="AK76" s="142" t="str">
        <f t="shared" si="76"/>
        <v/>
      </c>
      <c r="AL76" s="142" t="str">
        <f t="shared" si="77"/>
        <v/>
      </c>
      <c r="AM76" s="1359" t="str">
        <f t="shared" si="78"/>
        <v/>
      </c>
      <c r="AN76" s="5"/>
      <c r="AO76" s="5"/>
      <c r="AP76" s="5"/>
      <c r="AQ76" s="34">
        <f t="shared" si="79"/>
        <v>0</v>
      </c>
      <c r="AR76" s="34">
        <f t="shared" si="80"/>
        <v>0</v>
      </c>
      <c r="AS76" s="34">
        <f t="shared" si="81"/>
        <v>0</v>
      </c>
      <c r="AT76" s="34">
        <f t="shared" si="82"/>
        <v>0</v>
      </c>
    </row>
    <row r="77" spans="1:46" s="6" customFormat="1" ht="15" customHeight="1">
      <c r="A77" s="2283" t="s">
        <v>755</v>
      </c>
      <c r="B77" s="2284"/>
      <c r="C77" s="1411">
        <f t="shared" ref="C77:C78" si="89">SUM(D77:E77)</f>
        <v>0</v>
      </c>
      <c r="D77" s="1412">
        <f t="shared" ref="D77:D78" si="90">+G77+J77</f>
        <v>0</v>
      </c>
      <c r="E77" s="1411">
        <f t="shared" si="84"/>
        <v>0</v>
      </c>
      <c r="F77" s="1387">
        <f t="shared" si="85"/>
        <v>0</v>
      </c>
      <c r="G77" s="1339"/>
      <c r="H77" s="1340"/>
      <c r="I77" s="1387">
        <f t="shared" si="86"/>
        <v>0</v>
      </c>
      <c r="J77" s="1339"/>
      <c r="K77" s="1341"/>
      <c r="L77" s="1386">
        <f t="shared" si="87"/>
        <v>0</v>
      </c>
      <c r="M77" s="1339"/>
      <c r="N77" s="1340"/>
      <c r="O77" s="1387">
        <f t="shared" si="88"/>
        <v>0</v>
      </c>
      <c r="P77" s="1339"/>
      <c r="Q77" s="1340"/>
      <c r="R77" s="6" t="str">
        <f t="shared" si="74"/>
        <v/>
      </c>
      <c r="X77" s="5"/>
      <c r="Y77" s="5"/>
      <c r="Z77" s="5"/>
      <c r="AA77" s="5"/>
      <c r="AB77" s="5"/>
      <c r="AC77" s="5"/>
      <c r="AD77" s="5"/>
      <c r="AE77" s="5"/>
      <c r="AF77" s="5"/>
      <c r="AG77" s="5"/>
      <c r="AH77" s="5"/>
      <c r="AI77" s="5"/>
      <c r="AJ77" s="142" t="str">
        <f t="shared" si="75"/>
        <v/>
      </c>
      <c r="AK77" s="142" t="str">
        <f t="shared" si="76"/>
        <v/>
      </c>
      <c r="AL77" s="142" t="str">
        <f t="shared" si="77"/>
        <v/>
      </c>
      <c r="AM77" s="1359" t="str">
        <f t="shared" si="78"/>
        <v/>
      </c>
      <c r="AN77" s="5"/>
      <c r="AO77" s="5"/>
      <c r="AP77" s="5"/>
      <c r="AQ77" s="34">
        <f t="shared" si="79"/>
        <v>0</v>
      </c>
      <c r="AR77" s="34">
        <f t="shared" si="80"/>
        <v>0</v>
      </c>
      <c r="AS77" s="34">
        <f t="shared" si="81"/>
        <v>0</v>
      </c>
      <c r="AT77" s="34">
        <f t="shared" si="82"/>
        <v>0</v>
      </c>
    </row>
    <row r="78" spans="1:46" s="6" customFormat="1" ht="15" customHeight="1">
      <c r="A78" s="2290" t="s">
        <v>756</v>
      </c>
      <c r="B78" s="2291"/>
      <c r="C78" s="1420">
        <f t="shared" si="89"/>
        <v>0</v>
      </c>
      <c r="D78" s="1421">
        <f t="shared" si="90"/>
        <v>0</v>
      </c>
      <c r="E78" s="1420">
        <f t="shared" si="84"/>
        <v>0</v>
      </c>
      <c r="F78" s="1368">
        <f t="shared" si="85"/>
        <v>0</v>
      </c>
      <c r="G78" s="1328"/>
      <c r="H78" s="1329"/>
      <c r="I78" s="1368">
        <f t="shared" si="86"/>
        <v>0</v>
      </c>
      <c r="J78" s="1328"/>
      <c r="K78" s="1366"/>
      <c r="L78" s="1367">
        <f t="shared" si="87"/>
        <v>0</v>
      </c>
      <c r="M78" s="1328"/>
      <c r="N78" s="1329"/>
      <c r="O78" s="1368">
        <f t="shared" si="88"/>
        <v>0</v>
      </c>
      <c r="P78" s="1328"/>
      <c r="Q78" s="1329"/>
      <c r="R78" s="6" t="str">
        <f t="shared" si="74"/>
        <v/>
      </c>
      <c r="X78" s="5"/>
      <c r="Y78" s="5"/>
      <c r="Z78" s="5"/>
      <c r="AA78" s="5"/>
      <c r="AB78" s="5"/>
      <c r="AC78" s="5"/>
      <c r="AD78" s="5"/>
      <c r="AE78" s="5"/>
      <c r="AF78" s="5"/>
      <c r="AG78" s="5"/>
      <c r="AH78" s="5"/>
      <c r="AI78" s="5"/>
      <c r="AJ78" s="142" t="str">
        <f t="shared" si="75"/>
        <v/>
      </c>
      <c r="AK78" s="142" t="str">
        <f t="shared" si="76"/>
        <v/>
      </c>
      <c r="AL78" s="142" t="str">
        <f t="shared" si="77"/>
        <v/>
      </c>
      <c r="AM78" s="1359" t="str">
        <f t="shared" si="78"/>
        <v/>
      </c>
      <c r="AN78" s="5"/>
      <c r="AO78" s="5"/>
      <c r="AP78" s="5"/>
      <c r="AQ78" s="34">
        <f t="shared" si="79"/>
        <v>0</v>
      </c>
      <c r="AR78" s="34">
        <f t="shared" si="80"/>
        <v>0</v>
      </c>
      <c r="AS78" s="34">
        <f t="shared" si="81"/>
        <v>0</v>
      </c>
      <c r="AT78" s="34">
        <f t="shared" si="82"/>
        <v>0</v>
      </c>
    </row>
    <row r="79" spans="1:46" s="6" customFormat="1" ht="17.149999999999999" customHeight="1">
      <c r="A79" s="2285" t="s">
        <v>757</v>
      </c>
      <c r="B79" s="2285"/>
      <c r="C79" s="2285"/>
      <c r="D79" s="2285"/>
      <c r="E79" s="2285"/>
      <c r="F79" s="2285"/>
      <c r="G79" s="2285"/>
      <c r="H79" s="2285"/>
      <c r="I79" s="2285"/>
      <c r="J79" s="2285"/>
      <c r="K79" s="2285"/>
      <c r="L79" s="2285"/>
      <c r="M79" s="2285"/>
      <c r="N79" s="2285"/>
      <c r="O79" s="2285"/>
      <c r="P79" s="2285"/>
      <c r="Q79" s="2285"/>
      <c r="R79" s="1442"/>
      <c r="AA79" s="5"/>
      <c r="AB79" s="5"/>
      <c r="AC79" s="5"/>
      <c r="AD79" s="5"/>
      <c r="AE79" s="5"/>
      <c r="AF79" s="5"/>
      <c r="AG79" s="5"/>
      <c r="AH79" s="5"/>
      <c r="AI79" s="5"/>
      <c r="AJ79" s="5"/>
      <c r="AK79" s="5"/>
      <c r="AL79" s="5"/>
    </row>
    <row r="80" spans="1:46" s="6" customFormat="1" ht="18" customHeight="1">
      <c r="A80" s="2292" t="s">
        <v>758</v>
      </c>
      <c r="B80" s="2293"/>
      <c r="C80" s="2296" t="s">
        <v>5</v>
      </c>
      <c r="D80" s="2297"/>
      <c r="E80" s="2298"/>
      <c r="F80" s="2296" t="s">
        <v>724</v>
      </c>
      <c r="G80" s="2297"/>
      <c r="H80" s="2298"/>
      <c r="I80" s="2296" t="s">
        <v>725</v>
      </c>
      <c r="J80" s="2297"/>
      <c r="K80" s="2299"/>
      <c r="L80" s="2300" t="s">
        <v>691</v>
      </c>
      <c r="M80" s="2297"/>
      <c r="N80" s="2298"/>
      <c r="O80" s="2296" t="s">
        <v>8</v>
      </c>
      <c r="P80" s="2297"/>
      <c r="Q80" s="2298"/>
      <c r="X80" s="5"/>
      <c r="Y80" s="5"/>
      <c r="Z80" s="5"/>
      <c r="AA80" s="5"/>
      <c r="AB80" s="5"/>
      <c r="AC80" s="5"/>
      <c r="AD80" s="5"/>
      <c r="AE80" s="5"/>
      <c r="AF80" s="5"/>
      <c r="AG80" s="5"/>
      <c r="AH80" s="5"/>
      <c r="AI80" s="5"/>
      <c r="AJ80" s="5"/>
      <c r="AK80" s="5"/>
      <c r="AL80" s="5"/>
    </row>
    <row r="81" spans="1:48" s="6" customFormat="1" ht="27.75" customHeight="1">
      <c r="A81" s="2294"/>
      <c r="B81" s="2295"/>
      <c r="C81" s="1404" t="s">
        <v>178</v>
      </c>
      <c r="D81" s="1297" t="s">
        <v>726</v>
      </c>
      <c r="E81" s="1427" t="s">
        <v>41</v>
      </c>
      <c r="F81" s="1443" t="s">
        <v>178</v>
      </c>
      <c r="G81" s="1297" t="s">
        <v>726</v>
      </c>
      <c r="H81" s="1427" t="s">
        <v>41</v>
      </c>
      <c r="I81" s="1443" t="s">
        <v>178</v>
      </c>
      <c r="J81" s="1297" t="s">
        <v>726</v>
      </c>
      <c r="K81" s="1444" t="s">
        <v>41</v>
      </c>
      <c r="L81" s="1445" t="s">
        <v>178</v>
      </c>
      <c r="M81" s="1297" t="s">
        <v>726</v>
      </c>
      <c r="N81" s="1427" t="s">
        <v>41</v>
      </c>
      <c r="O81" s="1404" t="s">
        <v>178</v>
      </c>
      <c r="P81" s="1297" t="s">
        <v>726</v>
      </c>
      <c r="Q81" s="1427" t="s">
        <v>41</v>
      </c>
      <c r="X81" s="5"/>
      <c r="Y81" s="5"/>
      <c r="Z81" s="5"/>
      <c r="AA81" s="5"/>
      <c r="AB81" s="5"/>
      <c r="AC81" s="5"/>
      <c r="AD81" s="5"/>
      <c r="AE81" s="5"/>
      <c r="AF81" s="5"/>
      <c r="AG81" s="5"/>
      <c r="AH81" s="5"/>
      <c r="AI81" s="5"/>
      <c r="AJ81" s="5"/>
      <c r="AK81" s="5"/>
      <c r="AL81" s="5"/>
    </row>
    <row r="82" spans="1:48" s="6" customFormat="1" ht="15" customHeight="1">
      <c r="A82" s="2301" t="s">
        <v>759</v>
      </c>
      <c r="B82" s="2302"/>
      <c r="C82" s="1430">
        <f>SUM(D82:E82)</f>
        <v>0</v>
      </c>
      <c r="D82" s="1429">
        <f>+G82+J82</f>
        <v>0</v>
      </c>
      <c r="E82" s="1430">
        <f t="shared" ref="E82:E86" si="91">+H82+K82</f>
        <v>0</v>
      </c>
      <c r="F82" s="1387">
        <f>SUM(G82:H82)</f>
        <v>0</v>
      </c>
      <c r="G82" s="1339"/>
      <c r="H82" s="1340"/>
      <c r="I82" s="1387">
        <f t="shared" ref="I82:I86" si="92">SUM(J82:K82)</f>
        <v>0</v>
      </c>
      <c r="J82" s="1339"/>
      <c r="K82" s="1341"/>
      <c r="L82" s="1362">
        <f t="shared" ref="L82:L86" si="93">SUM(M82:N82)</f>
        <v>0</v>
      </c>
      <c r="M82" s="1339"/>
      <c r="N82" s="1340"/>
      <c r="O82" s="1363">
        <f t="shared" ref="O82:O86" si="94">SUM(P82:Q82)</f>
        <v>0</v>
      </c>
      <c r="P82" s="1339"/>
      <c r="Q82" s="1340"/>
      <c r="R82" s="6" t="str">
        <f>AJ82&amp;AK82&amp;AL82&amp;AM82</f>
        <v/>
      </c>
      <c r="X82" s="5"/>
      <c r="Y82" s="5"/>
      <c r="Z82" s="5"/>
      <c r="AA82" s="5"/>
      <c r="AB82" s="5"/>
      <c r="AC82" s="5"/>
      <c r="AD82" s="5"/>
      <c r="AE82" s="5"/>
      <c r="AF82" s="5"/>
      <c r="AG82" s="5"/>
      <c r="AH82" s="5"/>
      <c r="AI82" s="5"/>
      <c r="AJ82" s="142" t="str">
        <f>IF(AND(D82&gt;0,OR(M82=""))," * No olvide digitar la variable Pueblos Originarios Hombres. Digite Cero si no tiene.",IF(M82&gt;D82," * La variable Pueblos Originarios Hombres no puede ser Mayor al Total Hombres.",""))</f>
        <v/>
      </c>
      <c r="AK82" s="142" t="str">
        <f>IF(AND(E82&gt;0,OR(N82=""))," * No olvide digitar la variable Pueblos Originarios Mujeres. Digite Cero si no tiene.",IF(N82&gt;E82," * La variable Pueblos Originarios Mujeres no puede ser Mayor al Total Mujeres.",""))</f>
        <v/>
      </c>
      <c r="AL82" s="142" t="str">
        <f t="shared" ref="AL82:AL86" si="95">IF(AND($D82&gt;0,OR(P82=""))," * No olvide digitar la variable Migrantes Hombres. Digite Cero si no tiene.",IF(P82&gt;$D82," * La variable Migrantes Hombres no puede ser Mayor al Total Hombres.",""))</f>
        <v/>
      </c>
      <c r="AM82" s="1359" t="str">
        <f>IF(AND($E82&gt;0,OR(Q82=""))," * No olvide digitar la variable Migrantes Mujeres. Digite Cero si no tiene.",IF(Q82&gt;$E82," * La variable Migrantes Mujeres no puede ser Mayor al Total Mujeres.",""))</f>
        <v/>
      </c>
      <c r="AN82" s="5"/>
      <c r="AO82" s="5"/>
      <c r="AP82" s="5"/>
      <c r="AQ82" s="34">
        <f t="shared" ref="AQ82:AQ86" si="96">IF(AND($D82&gt;0,OR(M82="")),1,IF(M82&gt;$D82,1,0))</f>
        <v>0</v>
      </c>
      <c r="AR82" s="34">
        <f t="shared" ref="AR82:AR86" si="97">IF(AND($E82&gt;0,OR(N82="")),1,IF(N82&gt;$E82,1,0))</f>
        <v>0</v>
      </c>
      <c r="AS82" s="34">
        <f t="shared" ref="AS82:AS86" si="98">IF(AND($D82&gt;0,OR(P82="")),1,IF(P82&gt;$D82,1,0))</f>
        <v>0</v>
      </c>
      <c r="AT82" s="34">
        <f t="shared" ref="AT82:AT86" si="99">IF(AND($E82&gt;0,OR(Q82="")),1,IF(Q82&gt;$E82,1,0))</f>
        <v>0</v>
      </c>
    </row>
    <row r="83" spans="1:48" s="6" customFormat="1" ht="15" customHeight="1">
      <c r="A83" s="2283" t="s">
        <v>760</v>
      </c>
      <c r="B83" s="2284"/>
      <c r="C83" s="1411">
        <f t="shared" ref="C83:C86" si="100">SUM(D83:E83)</f>
        <v>0</v>
      </c>
      <c r="D83" s="1412">
        <f t="shared" ref="D83:D86" si="101">+G83+J83</f>
        <v>0</v>
      </c>
      <c r="E83" s="1411">
        <f t="shared" si="91"/>
        <v>0</v>
      </c>
      <c r="F83" s="1387">
        <f t="shared" ref="F83:F86" si="102">SUM(G83:H83)</f>
        <v>0</v>
      </c>
      <c r="G83" s="1339"/>
      <c r="H83" s="1340"/>
      <c r="I83" s="1387">
        <f t="shared" si="92"/>
        <v>0</v>
      </c>
      <c r="J83" s="1339"/>
      <c r="K83" s="1341"/>
      <c r="L83" s="1386">
        <f t="shared" si="93"/>
        <v>0</v>
      </c>
      <c r="M83" s="1339"/>
      <c r="N83" s="1340"/>
      <c r="O83" s="1387">
        <f t="shared" si="94"/>
        <v>0</v>
      </c>
      <c r="P83" s="1339"/>
      <c r="Q83" s="1340"/>
      <c r="R83" s="6" t="str">
        <f t="shared" ref="R83:R86" si="103">AJ83&amp;AK83&amp;AL83&amp;AM83</f>
        <v/>
      </c>
      <c r="X83" s="5"/>
      <c r="Y83" s="5"/>
      <c r="Z83" s="5"/>
      <c r="AA83" s="5"/>
      <c r="AB83" s="5"/>
      <c r="AC83" s="5"/>
      <c r="AD83" s="5"/>
      <c r="AE83" s="5"/>
      <c r="AF83" s="5"/>
      <c r="AG83" s="5"/>
      <c r="AH83" s="5"/>
      <c r="AI83" s="5"/>
      <c r="AJ83" s="142" t="str">
        <f>IF(AND(D83&gt;0,OR(M83=""))," * No olvide digitar la variable Pueblos Originarios Hombres. Digite Cero si no tiene.",IF(M83&gt;D83," * La variable Pueblos Originarios Hombres no puede ser Mayor al Total Hombres.",""))</f>
        <v/>
      </c>
      <c r="AK83" s="142" t="str">
        <f>IF(AND(E83&gt;0,OR(N83=""))," * No olvide digitar la variable Pueblos Originarios Mujeres. Digite Cero si no tiene.",IF(N83&gt;E83," * La variable Pueblos Originarios Mujeres no puede ser Mayor al Total Mujeres.",""))</f>
        <v/>
      </c>
      <c r="AL83" s="142" t="str">
        <f t="shared" si="95"/>
        <v/>
      </c>
      <c r="AM83" s="1359" t="str">
        <f>IF(AND($E83&gt;0,OR(Q83=""))," * No olvide digitar la variable Migrantes Mujeres. Digite Cero si no tiene.",IF(Q83&gt;$E83," * La variable Migrantes Mujeres no puede ser Mayor al Total Mujeres.",""))</f>
        <v/>
      </c>
      <c r="AN83" s="5"/>
      <c r="AO83" s="5"/>
      <c r="AP83" s="5"/>
      <c r="AQ83" s="34">
        <f t="shared" si="96"/>
        <v>0</v>
      </c>
      <c r="AR83" s="34">
        <f t="shared" si="97"/>
        <v>0</v>
      </c>
      <c r="AS83" s="34">
        <f t="shared" si="98"/>
        <v>0</v>
      </c>
      <c r="AT83" s="34">
        <f t="shared" si="99"/>
        <v>0</v>
      </c>
    </row>
    <row r="84" spans="1:48" s="6" customFormat="1" ht="15" customHeight="1">
      <c r="A84" s="2283" t="s">
        <v>589</v>
      </c>
      <c r="B84" s="2284"/>
      <c r="C84" s="1411">
        <f t="shared" si="100"/>
        <v>0</v>
      </c>
      <c r="D84" s="1412">
        <f t="shared" si="101"/>
        <v>0</v>
      </c>
      <c r="E84" s="1411">
        <f t="shared" si="91"/>
        <v>0</v>
      </c>
      <c r="F84" s="1387">
        <f t="shared" si="102"/>
        <v>0</v>
      </c>
      <c r="G84" s="1339"/>
      <c r="H84" s="1340"/>
      <c r="I84" s="1387">
        <f t="shared" si="92"/>
        <v>0</v>
      </c>
      <c r="J84" s="1339"/>
      <c r="K84" s="1341"/>
      <c r="L84" s="1386">
        <f t="shared" si="93"/>
        <v>0</v>
      </c>
      <c r="M84" s="1339"/>
      <c r="N84" s="1340"/>
      <c r="O84" s="1387">
        <f t="shared" si="94"/>
        <v>0</v>
      </c>
      <c r="P84" s="1339"/>
      <c r="Q84" s="1340"/>
      <c r="R84" s="6" t="str">
        <f t="shared" si="103"/>
        <v/>
      </c>
      <c r="X84" s="5"/>
      <c r="Y84" s="5"/>
      <c r="Z84" s="5"/>
      <c r="AA84" s="5"/>
      <c r="AB84" s="5"/>
      <c r="AC84" s="5"/>
      <c r="AD84" s="5"/>
      <c r="AE84" s="5"/>
      <c r="AF84" s="5"/>
      <c r="AG84" s="5"/>
      <c r="AH84" s="5"/>
      <c r="AI84" s="5"/>
      <c r="AJ84" s="142" t="str">
        <f>IF(AND(D84&gt;0,OR(M84=""))," * No olvide digitar la variable Pueblos Originarios Hombres. Digite Cero si no tiene.",IF(M84&gt;D84," * La variable Pueblos Originarios Hombres no puede ser Mayor al Total Hombres.",""))</f>
        <v/>
      </c>
      <c r="AK84" s="142" t="str">
        <f>IF(AND(E84&gt;0,OR(N84=""))," * No olvide digitar la variable Pueblos Originarios Mujeres. Digite Cero si no tiene.",IF(N84&gt;E84," * La variable Pueblos Originarios Mujeres no puede ser Mayor al Total Mujeres.",""))</f>
        <v/>
      </c>
      <c r="AL84" s="142" t="str">
        <f t="shared" si="95"/>
        <v/>
      </c>
      <c r="AM84" s="1359" t="str">
        <f>IF(AND($E84&gt;0,OR(Q84=""))," * No olvide digitar la variable Migrantes Mujeres. Digite Cero si no tiene.",IF(Q84&gt;$E84," * La variable Migrantes Mujeres no puede ser Mayor al Total Mujeres.",""))</f>
        <v/>
      </c>
      <c r="AN84" s="5"/>
      <c r="AO84" s="5"/>
      <c r="AP84" s="5"/>
      <c r="AQ84" s="34">
        <f t="shared" si="96"/>
        <v>0</v>
      </c>
      <c r="AR84" s="34">
        <f t="shared" si="97"/>
        <v>0</v>
      </c>
      <c r="AS84" s="34">
        <f t="shared" si="98"/>
        <v>0</v>
      </c>
      <c r="AT84" s="34">
        <f t="shared" si="99"/>
        <v>0</v>
      </c>
    </row>
    <row r="85" spans="1:48" s="6" customFormat="1" ht="15" customHeight="1">
      <c r="A85" s="2283" t="s">
        <v>761</v>
      </c>
      <c r="B85" s="2284"/>
      <c r="C85" s="1411">
        <f t="shared" si="100"/>
        <v>0</v>
      </c>
      <c r="D85" s="1412">
        <f t="shared" si="101"/>
        <v>0</v>
      </c>
      <c r="E85" s="1411">
        <f t="shared" si="91"/>
        <v>0</v>
      </c>
      <c r="F85" s="1387">
        <f t="shared" si="102"/>
        <v>0</v>
      </c>
      <c r="G85" s="1339"/>
      <c r="H85" s="1340"/>
      <c r="I85" s="1387">
        <f t="shared" si="92"/>
        <v>0</v>
      </c>
      <c r="J85" s="1339"/>
      <c r="K85" s="1341"/>
      <c r="L85" s="1386">
        <f t="shared" si="93"/>
        <v>0</v>
      </c>
      <c r="M85" s="1339"/>
      <c r="N85" s="1340"/>
      <c r="O85" s="1387">
        <f t="shared" si="94"/>
        <v>0</v>
      </c>
      <c r="P85" s="1339"/>
      <c r="Q85" s="1340"/>
      <c r="R85" s="6" t="str">
        <f t="shared" si="103"/>
        <v/>
      </c>
      <c r="X85" s="5"/>
      <c r="Y85" s="5"/>
      <c r="Z85" s="5"/>
      <c r="AA85" s="5"/>
      <c r="AB85" s="5"/>
      <c r="AC85" s="5"/>
      <c r="AD85" s="5"/>
      <c r="AE85" s="5"/>
      <c r="AF85" s="5"/>
      <c r="AG85" s="5"/>
      <c r="AH85" s="5"/>
      <c r="AI85" s="5"/>
      <c r="AJ85" s="142" t="str">
        <f>IF(AND(D85&gt;0,OR(M85=""))," * No olvide digitar la variable Pueblos Originarios Hombres. Digite Cero si no tiene.",IF(M85&gt;D85," * La variable Pueblos Originarios Hombres no puede ser Mayor al Total Hombres.",""))</f>
        <v/>
      </c>
      <c r="AK85" s="142" t="str">
        <f>IF(AND(E85&gt;0,OR(N85=""))," * No olvide digitar la variable Pueblos Originarios Mujeres. Digite Cero si no tiene.",IF(N85&gt;E85," * La variable Pueblos Originarios Mujeres no puede ser Mayor al Total Mujeres.",""))</f>
        <v/>
      </c>
      <c r="AL85" s="142" t="str">
        <f t="shared" si="95"/>
        <v/>
      </c>
      <c r="AM85" s="1359" t="str">
        <f>IF(AND($E85&gt;0,OR(Q85=""))," * No olvide digitar la variable Migrantes Mujeres. Digite Cero si no tiene.",IF(Q85&gt;$E85," * La variable Migrantes Mujeres no puede ser Mayor al Total Mujeres.",""))</f>
        <v/>
      </c>
      <c r="AN85" s="5"/>
      <c r="AO85" s="5"/>
      <c r="AP85" s="5"/>
      <c r="AQ85" s="34">
        <f t="shared" si="96"/>
        <v>0</v>
      </c>
      <c r="AR85" s="34">
        <f t="shared" si="97"/>
        <v>0</v>
      </c>
      <c r="AS85" s="34">
        <f t="shared" si="98"/>
        <v>0</v>
      </c>
      <c r="AT85" s="34">
        <f t="shared" si="99"/>
        <v>0</v>
      </c>
    </row>
    <row r="86" spans="1:48" s="6" customFormat="1" ht="15" customHeight="1">
      <c r="A86" s="2445" t="s">
        <v>762</v>
      </c>
      <c r="B86" s="2446"/>
      <c r="C86" s="1368">
        <f t="shared" si="100"/>
        <v>0</v>
      </c>
      <c r="D86" s="1446">
        <f t="shared" si="101"/>
        <v>0</v>
      </c>
      <c r="E86" s="1368">
        <f t="shared" si="91"/>
        <v>0</v>
      </c>
      <c r="F86" s="1368">
        <f t="shared" si="102"/>
        <v>0</v>
      </c>
      <c r="G86" s="1328"/>
      <c r="H86" s="1329"/>
      <c r="I86" s="1368">
        <f t="shared" si="92"/>
        <v>0</v>
      </c>
      <c r="J86" s="1328"/>
      <c r="K86" s="1366"/>
      <c r="L86" s="1367">
        <f t="shared" si="93"/>
        <v>0</v>
      </c>
      <c r="M86" s="1328"/>
      <c r="N86" s="1329"/>
      <c r="O86" s="1368">
        <f t="shared" si="94"/>
        <v>0</v>
      </c>
      <c r="P86" s="1328"/>
      <c r="Q86" s="1329"/>
      <c r="R86" s="6" t="str">
        <f t="shared" si="103"/>
        <v/>
      </c>
      <c r="X86" s="5"/>
      <c r="Y86" s="5"/>
      <c r="Z86" s="5"/>
      <c r="AA86" s="5"/>
      <c r="AB86" s="5"/>
      <c r="AC86" s="5"/>
      <c r="AD86" s="5"/>
      <c r="AE86" s="5"/>
      <c r="AF86" s="5"/>
      <c r="AG86" s="5"/>
      <c r="AH86" s="5"/>
      <c r="AI86" s="5"/>
      <c r="AJ86" s="142" t="str">
        <f>IF(AND(D86&gt;0,OR(M86=""))," * No olvide digitar la variable Pueblos Originarios Hombres. Digite Cero si no tiene.",IF(M86&gt;D86," * La variable Pueblos Originarios Hombres no puede ser Mayor al Total Hombres.",""))</f>
        <v/>
      </c>
      <c r="AK86" s="142" t="str">
        <f>IF(AND(E86&gt;0,OR(N86=""))," * No olvide digitar la variable Pueblos Originarios Mujeres. Digite Cero si no tiene.",IF(N86&gt;E86," * La variable Pueblos Originarios Mujeres no puede ser Mayor al Total Mujeres.",""))</f>
        <v/>
      </c>
      <c r="AL86" s="142" t="str">
        <f t="shared" si="95"/>
        <v/>
      </c>
      <c r="AM86" s="1359" t="str">
        <f>IF(AND($E86&gt;0,OR(Q86=""))," * No olvide digitar la variable Migrantes Mujeres. Digite Cero si no tiene.",IF(Q86&gt;$E86," * La variable Migrantes Mujeres no puede ser Mayor al Total Mujeres.",""))</f>
        <v/>
      </c>
      <c r="AN86" s="5"/>
      <c r="AO86" s="5"/>
      <c r="AP86" s="5"/>
      <c r="AQ86" s="34">
        <f t="shared" si="96"/>
        <v>0</v>
      </c>
      <c r="AR86" s="34">
        <f t="shared" si="97"/>
        <v>0</v>
      </c>
      <c r="AS86" s="34">
        <f t="shared" si="98"/>
        <v>0</v>
      </c>
      <c r="AT86" s="34">
        <f t="shared" si="99"/>
        <v>0</v>
      </c>
    </row>
    <row r="87" spans="1:48" s="6" customFormat="1" ht="17.149999999999999" customHeight="1">
      <c r="A87" s="2285" t="s">
        <v>763</v>
      </c>
      <c r="B87" s="2285"/>
      <c r="C87" s="2285"/>
      <c r="D87" s="2285"/>
      <c r="E87" s="2285"/>
      <c r="F87" s="2285"/>
      <c r="G87" s="2285"/>
      <c r="H87" s="2285"/>
      <c r="I87" s="2285"/>
      <c r="J87" s="2285"/>
      <c r="K87" s="2285"/>
      <c r="L87" s="2285"/>
      <c r="M87" s="2285"/>
      <c r="N87" s="2285"/>
      <c r="AA87" s="5"/>
      <c r="AB87" s="5"/>
      <c r="AC87" s="5"/>
      <c r="AD87" s="5"/>
      <c r="AE87" s="5"/>
      <c r="AF87" s="5"/>
      <c r="AG87" s="5"/>
      <c r="AH87" s="5"/>
      <c r="AI87" s="5"/>
      <c r="AJ87" s="5"/>
      <c r="AK87" s="5"/>
      <c r="AL87" s="5"/>
    </row>
    <row r="88" spans="1:48" s="6" customFormat="1" ht="24" customHeight="1">
      <c r="A88" s="2286" t="s">
        <v>764</v>
      </c>
      <c r="B88" s="2286" t="s">
        <v>765</v>
      </c>
      <c r="C88" s="2280" t="s">
        <v>766</v>
      </c>
      <c r="D88" s="2281"/>
      <c r="E88" s="2288"/>
      <c r="F88" s="2289" t="s">
        <v>691</v>
      </c>
      <c r="G88" s="2281"/>
      <c r="H88" s="2282"/>
      <c r="I88" s="2280" t="s">
        <v>8</v>
      </c>
      <c r="J88" s="2281"/>
      <c r="K88" s="2282"/>
      <c r="L88" s="2280" t="s">
        <v>767</v>
      </c>
      <c r="M88" s="2281"/>
      <c r="N88" s="2282"/>
      <c r="AA88" s="5"/>
      <c r="AB88" s="5"/>
      <c r="AC88" s="5"/>
      <c r="AD88" s="5"/>
      <c r="AE88" s="5"/>
      <c r="AF88" s="5"/>
      <c r="AG88" s="5"/>
      <c r="AH88" s="5"/>
      <c r="AI88" s="5"/>
      <c r="AJ88" s="5"/>
      <c r="AK88" s="5"/>
      <c r="AL88" s="5"/>
    </row>
    <row r="89" spans="1:48" s="6" customFormat="1" ht="27.75" customHeight="1">
      <c r="A89" s="2287"/>
      <c r="B89" s="2287"/>
      <c r="C89" s="1297" t="s">
        <v>178</v>
      </c>
      <c r="D89" s="1297" t="s">
        <v>726</v>
      </c>
      <c r="E89" s="1299" t="s">
        <v>41</v>
      </c>
      <c r="F89" s="1306" t="s">
        <v>178</v>
      </c>
      <c r="G89" s="1297" t="s">
        <v>726</v>
      </c>
      <c r="H89" s="1427" t="s">
        <v>41</v>
      </c>
      <c r="I89" s="1297" t="s">
        <v>178</v>
      </c>
      <c r="J89" s="1297" t="s">
        <v>726</v>
      </c>
      <c r="K89" s="1427" t="s">
        <v>41</v>
      </c>
      <c r="L89" s="1297" t="s">
        <v>178</v>
      </c>
      <c r="M89" s="1297" t="s">
        <v>726</v>
      </c>
      <c r="N89" s="1427" t="s">
        <v>41</v>
      </c>
      <c r="AA89" s="5"/>
      <c r="AB89" s="5"/>
      <c r="AC89" s="5"/>
      <c r="AD89" s="5"/>
      <c r="AE89" s="5"/>
      <c r="AF89" s="5"/>
      <c r="AG89" s="5"/>
      <c r="AH89" s="5"/>
      <c r="AI89" s="5"/>
      <c r="AJ89" s="5"/>
      <c r="AK89" s="5"/>
      <c r="AL89" s="5"/>
    </row>
    <row r="90" spans="1:48" s="6" customFormat="1" ht="15" customHeight="1">
      <c r="A90" s="2279" t="s">
        <v>768</v>
      </c>
      <c r="B90" s="1447" t="s">
        <v>724</v>
      </c>
      <c r="C90" s="1407">
        <f>SUM(D90:E90)</f>
        <v>0</v>
      </c>
      <c r="D90" s="1339"/>
      <c r="E90" s="1341"/>
      <c r="F90" s="1410">
        <f>SUM(G90:H90)</f>
        <v>0</v>
      </c>
      <c r="G90" s="1339"/>
      <c r="H90" s="1340"/>
      <c r="I90" s="1407">
        <f>SUM(J90:K90)</f>
        <v>0</v>
      </c>
      <c r="J90" s="1339"/>
      <c r="K90" s="1340"/>
      <c r="L90" s="1405">
        <f>SUM(M90:N90)</f>
        <v>0</v>
      </c>
      <c r="M90" s="1339"/>
      <c r="N90" s="1340"/>
      <c r="O90" s="6" t="str">
        <f>AJ90&amp;AK90&amp;AL90&amp;AM90&amp;AN90&amp;AO90</f>
        <v/>
      </c>
      <c r="AA90" s="5"/>
      <c r="AB90" s="5"/>
      <c r="AC90" s="5"/>
      <c r="AD90" s="5"/>
      <c r="AE90" s="5"/>
      <c r="AF90" s="5"/>
      <c r="AG90" s="5"/>
      <c r="AH90" s="5"/>
      <c r="AI90" s="5"/>
      <c r="AJ90" s="142" t="str">
        <f>IF(AND($D90&gt;0,OR($G90=""))," * No olvide digitar la variable Pueblos Originarios Hombres. Digite Cero si no tiene.",IF($G90&gt;$D90," * La variable Pueblos Originarios Hombres no puede ser Mayor al Total Hombres.",""))</f>
        <v/>
      </c>
      <c r="AK90" s="142" t="str">
        <f>IF(AND($E90&gt;0,OR($H90=""))," * No olvide digitar la variable Pueblos Originarios Mujeres. Digite Cero si no tiene.",IF($H90&gt;$E90," * La variable Pueblos Originarios Mujeres no puede ser Mayor al Total Mujeres.",""))</f>
        <v/>
      </c>
      <c r="AL90" s="142" t="str">
        <f>IF(AND($D90&gt;0,OR($J90=""))," * No olvide digitar la variable Migrantes Hombres. Digite Cero si no tiene.",IF($J90&gt;$D90," * La variable Migrantes Hombres no puede ser Mayor al Total Hombres.",""))</f>
        <v/>
      </c>
      <c r="AM90" s="142" t="str">
        <f>IF(AND($E90&gt;0,OR($K90=""))," * No olvide digitar la variable Migrantes Mujeres. Digite Cero si no tiene.",IF($K90&gt;$E90," * La variable Migrantes Mujeres no puede ser Mayor al Total Mujeres.",""))</f>
        <v/>
      </c>
      <c r="AN90" s="142" t="str">
        <f>IF(AND($D90&gt;0,OR($M90=""))," * No olvide digitar la variable Espacios Amigables Hombres. Digite Cero si no tiene.",IF($M90&gt;$D90," * La variable Espacios Amigables Hombres no puede ser Mayor al Total Hombres.",""))</f>
        <v/>
      </c>
      <c r="AO90" s="142" t="str">
        <f>IF(AND($E90&gt;0,OR(N90=""))," * No olvide digitar la variable Espacios Amigables Mujeres. Digite Cero si no tiene.",IF(N90&gt;$E90," * La variable Espacios Amigables Mujeres no puede ser Mayor al Total Mujeres.",""))</f>
        <v/>
      </c>
      <c r="AP90" s="5"/>
      <c r="AQ90" s="34">
        <f>IF(AND($D90&gt;0,OR(G90="")),1,IF(G90&gt;$D90,1,0))</f>
        <v>0</v>
      </c>
      <c r="AR90" s="34">
        <f>IF(AND($E90&gt;0,OR(H90="")),1,IF(H90&gt;$E90,1,0))</f>
        <v>0</v>
      </c>
      <c r="AS90" s="34">
        <f>IF(AND($D90&gt;0,OR(J90="")),1,IF(J90&gt;$D90,1,0))</f>
        <v>0</v>
      </c>
      <c r="AT90" s="34">
        <f>IF(AND($E90&gt;0,OR(K90="")),1,IF(K90&gt;$E90,1,0))</f>
        <v>0</v>
      </c>
      <c r="AU90" s="34">
        <f>IF(AND($D90&gt;0,OR(M90="")),1,IF(M90&gt;$D90,1,0))</f>
        <v>0</v>
      </c>
      <c r="AV90" s="34">
        <f>IF(AND($E90&gt;0,OR(N90="")),1,IF(N90&gt;$E90,1,0))</f>
        <v>0</v>
      </c>
    </row>
    <row r="91" spans="1:48" s="6" customFormat="1" ht="15" customHeight="1">
      <c r="A91" s="1901"/>
      <c r="B91" s="1448" t="s">
        <v>769</v>
      </c>
      <c r="C91" s="1449">
        <f>SUM(D91:E91)</f>
        <v>0</v>
      </c>
      <c r="D91" s="1398"/>
      <c r="E91" s="1450"/>
      <c r="F91" s="1451">
        <f t="shared" ref="F91:F103" si="104">SUM(G91:H91)</f>
        <v>0</v>
      </c>
      <c r="G91" s="1398"/>
      <c r="H91" s="1399"/>
      <c r="I91" s="1449">
        <f t="shared" ref="I91:I103" si="105">SUM(J91:K91)</f>
        <v>0</v>
      </c>
      <c r="J91" s="1398"/>
      <c r="K91" s="1399"/>
      <c r="L91" s="1452">
        <f t="shared" ref="L91:L101" si="106">SUM(M91:N91)</f>
        <v>0</v>
      </c>
      <c r="M91" s="1398"/>
      <c r="N91" s="1399"/>
      <c r="O91" s="6" t="str">
        <f t="shared" ref="O91:O102" si="107">AJ91&amp;AK91&amp;AL91&amp;AM91&amp;AN91&amp;AO91</f>
        <v/>
      </c>
      <c r="AA91" s="5"/>
      <c r="AB91" s="5"/>
      <c r="AC91" s="5"/>
      <c r="AD91" s="5"/>
      <c r="AE91" s="5"/>
      <c r="AF91" s="5"/>
      <c r="AG91" s="5"/>
      <c r="AH91" s="5"/>
      <c r="AI91" s="5"/>
      <c r="AJ91" s="142" t="str">
        <f t="shared" ref="AJ91:AJ103" si="108">IF(AND($D91&gt;0,OR($G91=""))," * No olvide digitar la variable Pueblos Originarios Hombres. Digite Cero si no tiene.",IF($G91&gt;$D91," * La variable Pueblos Originarios Hombres no puede ser Mayor al Total Hombres.",""))</f>
        <v/>
      </c>
      <c r="AK91" s="142" t="str">
        <f t="shared" ref="AK91:AK103" si="109">IF(AND($E91&gt;0,OR($H91=""))," * No olvide digitar la variable Pueblos Originarios Mujeres. Digite Cero si no tiene.",IF($H91&gt;$E91," * La variable Pueblos Originarios Mujeres no puede ser Mayor al Total Mujeres.",""))</f>
        <v/>
      </c>
      <c r="AL91" s="142" t="str">
        <f t="shared" ref="AL91:AL103" si="110">IF(AND($D91&gt;0,OR($J91=""))," * No olvide digitar la variable Migrantes Hombres. Digite Cero si no tiene.",IF($J91&gt;$D91," * La variable Migrantes Hombres no puede ser Mayor al Total Hombres.",""))</f>
        <v/>
      </c>
      <c r="AM91" s="142" t="str">
        <f t="shared" ref="AM91:AM103" si="111">IF(AND($E91&gt;0,OR($K91=""))," * No olvide digitar la variable Migrantes Mujeres. Digite Cero si no tiene.",IF($K91&gt;$E91," * La variable Migrantes Mujeres no puede ser Mayor al Total Mujeres.",""))</f>
        <v/>
      </c>
      <c r="AN91" s="142" t="str">
        <f t="shared" ref="AN91:AN103" si="112">IF(AND($D91&gt;0,OR($M91=""))," * No olvide digitar la variable Espacios Amigables Hombres. Digite Cero si no tiene.",IF($M91&gt;$D91," * La variable Espacios Amigables Hombres no puede ser Mayor al Total Hombres.",""))</f>
        <v/>
      </c>
      <c r="AO91" s="142" t="str">
        <f t="shared" ref="AO91:AO103" si="113">IF(AND($E91&gt;0,OR(N91=""))," * No olvide digitar la variable Espacios Amigables Mujeres. Digite Cero si no tiene.",IF(N91&gt;$E91," * La variable Espacios Amigables Mujeres no puede ser Mayor al Total Mujeres.",""))</f>
        <v/>
      </c>
      <c r="AP91" s="5"/>
      <c r="AQ91" s="34">
        <f t="shared" ref="AQ91:AQ103" si="114">IF(AND($D91&gt;0,OR(G91="")),1,IF(G91&gt;$D91,1,0))</f>
        <v>0</v>
      </c>
      <c r="AR91" s="34">
        <f t="shared" ref="AR91:AR103" si="115">IF(AND($E91&gt;0,OR(H91="")),1,IF(H91&gt;$E91,1,0))</f>
        <v>0</v>
      </c>
      <c r="AS91" s="34">
        <f t="shared" ref="AS91:AS103" si="116">IF(AND($D91&gt;0,OR(J91="")),1,IF(J91&gt;$D91,1,0))</f>
        <v>0</v>
      </c>
      <c r="AT91" s="34">
        <f t="shared" ref="AT91:AT103" si="117">IF(AND($E91&gt;0,OR(K91="")),1,IF(K91&gt;$E91,1,0))</f>
        <v>0</v>
      </c>
      <c r="AU91" s="34">
        <f t="shared" ref="AU91:AU103" si="118">IF(AND($D91&gt;0,OR(M91="")),1,IF(M91&gt;$D91,1,0))</f>
        <v>0</v>
      </c>
      <c r="AV91" s="34">
        <f t="shared" ref="AV91:AV103" si="119">IF(AND($E91&gt;0,OR(N91="")),1,IF(N91&gt;$E91,1,0))</f>
        <v>0</v>
      </c>
    </row>
    <row r="92" spans="1:48" s="6" customFormat="1" ht="15" customHeight="1">
      <c r="A92" s="2279" t="s">
        <v>770</v>
      </c>
      <c r="B92" s="1447" t="s">
        <v>724</v>
      </c>
      <c r="C92" s="1453">
        <f t="shared" ref="C92:C103" si="120">SUM(D92:E92)</f>
        <v>0</v>
      </c>
      <c r="D92" s="1313"/>
      <c r="E92" s="1371"/>
      <c r="F92" s="1381">
        <f t="shared" si="104"/>
        <v>0</v>
      </c>
      <c r="G92" s="1313"/>
      <c r="H92" s="1314"/>
      <c r="I92" s="1453">
        <f t="shared" si="105"/>
        <v>0</v>
      </c>
      <c r="J92" s="1313"/>
      <c r="K92" s="1314"/>
      <c r="L92" s="1382">
        <f t="shared" si="106"/>
        <v>0</v>
      </c>
      <c r="M92" s="1313"/>
      <c r="N92" s="1314"/>
      <c r="O92" s="6" t="str">
        <f t="shared" si="107"/>
        <v/>
      </c>
      <c r="P92" s="346"/>
      <c r="AA92" s="5"/>
      <c r="AB92" s="5"/>
      <c r="AC92" s="5"/>
      <c r="AD92" s="5"/>
      <c r="AE92" s="5"/>
      <c r="AF92" s="5"/>
      <c r="AG92" s="5"/>
      <c r="AH92" s="5"/>
      <c r="AI92" s="5"/>
      <c r="AJ92" s="142" t="str">
        <f t="shared" si="108"/>
        <v/>
      </c>
      <c r="AK92" s="142" t="str">
        <f t="shared" si="109"/>
        <v/>
      </c>
      <c r="AL92" s="142" t="str">
        <f t="shared" si="110"/>
        <v/>
      </c>
      <c r="AM92" s="142" t="str">
        <f t="shared" si="111"/>
        <v/>
      </c>
      <c r="AN92" s="142" t="str">
        <f t="shared" si="112"/>
        <v/>
      </c>
      <c r="AO92" s="142" t="str">
        <f t="shared" si="113"/>
        <v/>
      </c>
      <c r="AP92" s="5"/>
      <c r="AQ92" s="34">
        <f t="shared" si="114"/>
        <v>0</v>
      </c>
      <c r="AR92" s="34">
        <f t="shared" si="115"/>
        <v>0</v>
      </c>
      <c r="AS92" s="34">
        <f t="shared" si="116"/>
        <v>0</v>
      </c>
      <c r="AT92" s="34">
        <f t="shared" si="117"/>
        <v>0</v>
      </c>
      <c r="AU92" s="34">
        <f t="shared" si="118"/>
        <v>0</v>
      </c>
      <c r="AV92" s="34">
        <f t="shared" si="119"/>
        <v>0</v>
      </c>
    </row>
    <row r="93" spans="1:48" s="6" customFormat="1" ht="15" customHeight="1">
      <c r="A93" s="1901"/>
      <c r="B93" s="1448" t="s">
        <v>769</v>
      </c>
      <c r="C93" s="1454">
        <f t="shared" si="120"/>
        <v>0</v>
      </c>
      <c r="D93" s="1438"/>
      <c r="E93" s="1439"/>
      <c r="F93" s="1367">
        <f t="shared" si="104"/>
        <v>0</v>
      </c>
      <c r="G93" s="1438"/>
      <c r="H93" s="1424"/>
      <c r="I93" s="1454">
        <f t="shared" si="105"/>
        <v>0</v>
      </c>
      <c r="J93" s="1438"/>
      <c r="K93" s="1424"/>
      <c r="L93" s="1368">
        <f>SUM(M93:N93)</f>
        <v>0</v>
      </c>
      <c r="M93" s="1438"/>
      <c r="N93" s="1424"/>
      <c r="O93" s="6" t="str">
        <f t="shared" si="107"/>
        <v/>
      </c>
      <c r="AA93" s="5"/>
      <c r="AB93" s="5"/>
      <c r="AC93" s="5"/>
      <c r="AD93" s="5"/>
      <c r="AE93" s="5"/>
      <c r="AF93" s="5"/>
      <c r="AG93" s="5"/>
      <c r="AH93" s="5"/>
      <c r="AI93" s="5"/>
      <c r="AJ93" s="142" t="str">
        <f t="shared" si="108"/>
        <v/>
      </c>
      <c r="AK93" s="142" t="str">
        <f t="shared" si="109"/>
        <v/>
      </c>
      <c r="AL93" s="142" t="str">
        <f t="shared" si="110"/>
        <v/>
      </c>
      <c r="AM93" s="142" t="str">
        <f t="shared" si="111"/>
        <v/>
      </c>
      <c r="AN93" s="142" t="str">
        <f>IF(AND($D93&gt;0,OR($M93=""))," * No olvide digitar la variable Espacios Amigables Hombres. Digite Cero si no tiene.",IF($M93&gt;$D93," * La variable Espacios Amigables Hombres no puede ser Mayor al Total Hombres.",""))</f>
        <v/>
      </c>
      <c r="AO93" s="142" t="str">
        <f t="shared" si="113"/>
        <v/>
      </c>
      <c r="AP93" s="5"/>
      <c r="AQ93" s="34">
        <f t="shared" si="114"/>
        <v>0</v>
      </c>
      <c r="AR93" s="34">
        <f t="shared" si="115"/>
        <v>0</v>
      </c>
      <c r="AS93" s="34">
        <f t="shared" si="116"/>
        <v>0</v>
      </c>
      <c r="AT93" s="34">
        <f t="shared" si="117"/>
        <v>0</v>
      </c>
      <c r="AU93" s="34">
        <f t="shared" si="118"/>
        <v>0</v>
      </c>
      <c r="AV93" s="34">
        <f>IF(AND($E93&gt;0,OR(N93="")),1,IF(N93&gt;$E93,1,0))</f>
        <v>0</v>
      </c>
    </row>
    <row r="94" spans="1:48" s="6" customFormat="1" ht="15" customHeight="1">
      <c r="A94" s="2279" t="s">
        <v>771</v>
      </c>
      <c r="B94" s="1447" t="s">
        <v>724</v>
      </c>
      <c r="C94" s="1453">
        <f t="shared" si="120"/>
        <v>0</v>
      </c>
      <c r="D94" s="1313"/>
      <c r="E94" s="1371"/>
      <c r="F94" s="1381">
        <f t="shared" si="104"/>
        <v>0</v>
      </c>
      <c r="G94" s="1313"/>
      <c r="H94" s="1314"/>
      <c r="I94" s="1453">
        <f t="shared" si="105"/>
        <v>0</v>
      </c>
      <c r="J94" s="1313"/>
      <c r="K94" s="1314"/>
      <c r="L94" s="1382">
        <f t="shared" si="106"/>
        <v>0</v>
      </c>
      <c r="M94" s="1313"/>
      <c r="N94" s="1314"/>
      <c r="O94" s="6" t="str">
        <f t="shared" si="107"/>
        <v/>
      </c>
      <c r="AA94" s="5"/>
      <c r="AB94" s="5"/>
      <c r="AC94" s="5"/>
      <c r="AD94" s="5"/>
      <c r="AE94" s="5"/>
      <c r="AF94" s="5"/>
      <c r="AG94" s="5"/>
      <c r="AH94" s="5"/>
      <c r="AI94" s="5"/>
      <c r="AJ94" s="142" t="str">
        <f t="shared" si="108"/>
        <v/>
      </c>
      <c r="AK94" s="142" t="str">
        <f t="shared" si="109"/>
        <v/>
      </c>
      <c r="AL94" s="142" t="str">
        <f t="shared" si="110"/>
        <v/>
      </c>
      <c r="AM94" s="142" t="str">
        <f t="shared" si="111"/>
        <v/>
      </c>
      <c r="AN94" s="142" t="str">
        <f t="shared" si="112"/>
        <v/>
      </c>
      <c r="AO94" s="142" t="str">
        <f t="shared" si="113"/>
        <v/>
      </c>
      <c r="AP94" s="5"/>
      <c r="AQ94" s="34">
        <f t="shared" si="114"/>
        <v>0</v>
      </c>
      <c r="AR94" s="34">
        <f t="shared" si="115"/>
        <v>0</v>
      </c>
      <c r="AS94" s="34">
        <f t="shared" si="116"/>
        <v>0</v>
      </c>
      <c r="AT94" s="34">
        <f t="shared" si="117"/>
        <v>0</v>
      </c>
      <c r="AU94" s="34">
        <f t="shared" si="118"/>
        <v>0</v>
      </c>
      <c r="AV94" s="34">
        <f t="shared" si="119"/>
        <v>0</v>
      </c>
    </row>
    <row r="95" spans="1:48" s="6" customFormat="1" ht="15" customHeight="1">
      <c r="A95" s="1901"/>
      <c r="B95" s="1448" t="s">
        <v>769</v>
      </c>
      <c r="C95" s="1454">
        <f t="shared" si="120"/>
        <v>0</v>
      </c>
      <c r="D95" s="1438"/>
      <c r="E95" s="1439"/>
      <c r="F95" s="1367">
        <f t="shared" si="104"/>
        <v>0</v>
      </c>
      <c r="G95" s="1438"/>
      <c r="H95" s="1424"/>
      <c r="I95" s="1454">
        <f t="shared" si="105"/>
        <v>0</v>
      </c>
      <c r="J95" s="1438"/>
      <c r="K95" s="1424"/>
      <c r="L95" s="1368">
        <f t="shared" si="106"/>
        <v>0</v>
      </c>
      <c r="M95" s="1438"/>
      <c r="N95" s="1424"/>
      <c r="O95" s="6" t="str">
        <f t="shared" si="107"/>
        <v/>
      </c>
      <c r="P95" s="346"/>
      <c r="AA95" s="5"/>
      <c r="AB95" s="5"/>
      <c r="AC95" s="5"/>
      <c r="AD95" s="5"/>
      <c r="AE95" s="5"/>
      <c r="AF95" s="5"/>
      <c r="AG95" s="5"/>
      <c r="AH95" s="5"/>
      <c r="AI95" s="5"/>
      <c r="AJ95" s="142" t="str">
        <f t="shared" si="108"/>
        <v/>
      </c>
      <c r="AK95" s="142" t="str">
        <f t="shared" si="109"/>
        <v/>
      </c>
      <c r="AL95" s="142" t="str">
        <f t="shared" si="110"/>
        <v/>
      </c>
      <c r="AM95" s="142" t="str">
        <f t="shared" si="111"/>
        <v/>
      </c>
      <c r="AN95" s="142" t="str">
        <f t="shared" si="112"/>
        <v/>
      </c>
      <c r="AO95" s="142" t="str">
        <f t="shared" si="113"/>
        <v/>
      </c>
      <c r="AP95" s="5"/>
      <c r="AQ95" s="34">
        <f t="shared" si="114"/>
        <v>0</v>
      </c>
      <c r="AR95" s="34">
        <f t="shared" si="115"/>
        <v>0</v>
      </c>
      <c r="AS95" s="34">
        <f t="shared" si="116"/>
        <v>0</v>
      </c>
      <c r="AT95" s="34">
        <f t="shared" si="117"/>
        <v>0</v>
      </c>
      <c r="AU95" s="34">
        <f t="shared" si="118"/>
        <v>0</v>
      </c>
      <c r="AV95" s="34">
        <f t="shared" si="119"/>
        <v>0</v>
      </c>
    </row>
    <row r="96" spans="1:48" s="6" customFormat="1" ht="15" customHeight="1">
      <c r="A96" s="2279" t="s">
        <v>772</v>
      </c>
      <c r="B96" s="1447" t="s">
        <v>724</v>
      </c>
      <c r="C96" s="1453">
        <f t="shared" si="120"/>
        <v>0</v>
      </c>
      <c r="D96" s="1313"/>
      <c r="E96" s="1371"/>
      <c r="F96" s="1381">
        <f t="shared" si="104"/>
        <v>0</v>
      </c>
      <c r="G96" s="1313"/>
      <c r="H96" s="1314"/>
      <c r="I96" s="1453">
        <f t="shared" si="105"/>
        <v>0</v>
      </c>
      <c r="J96" s="1313"/>
      <c r="K96" s="1314"/>
      <c r="L96" s="1382">
        <f t="shared" si="106"/>
        <v>0</v>
      </c>
      <c r="M96" s="1313"/>
      <c r="N96" s="1314"/>
      <c r="O96" s="6" t="str">
        <f t="shared" si="107"/>
        <v/>
      </c>
      <c r="AA96" s="5"/>
      <c r="AB96" s="5"/>
      <c r="AC96" s="5"/>
      <c r="AD96" s="5"/>
      <c r="AE96" s="5"/>
      <c r="AF96" s="5"/>
      <c r="AG96" s="5"/>
      <c r="AH96" s="5"/>
      <c r="AI96" s="5"/>
      <c r="AJ96" s="142" t="str">
        <f t="shared" si="108"/>
        <v/>
      </c>
      <c r="AK96" s="142" t="str">
        <f t="shared" si="109"/>
        <v/>
      </c>
      <c r="AL96" s="142" t="str">
        <f t="shared" si="110"/>
        <v/>
      </c>
      <c r="AM96" s="142" t="str">
        <f t="shared" si="111"/>
        <v/>
      </c>
      <c r="AN96" s="142" t="str">
        <f t="shared" si="112"/>
        <v/>
      </c>
      <c r="AO96" s="142" t="str">
        <f t="shared" si="113"/>
        <v/>
      </c>
      <c r="AP96" s="5"/>
      <c r="AQ96" s="34">
        <f t="shared" si="114"/>
        <v>0</v>
      </c>
      <c r="AR96" s="34">
        <f t="shared" si="115"/>
        <v>0</v>
      </c>
      <c r="AS96" s="34">
        <f t="shared" si="116"/>
        <v>0</v>
      </c>
      <c r="AT96" s="34">
        <f t="shared" si="117"/>
        <v>0</v>
      </c>
      <c r="AU96" s="34">
        <f t="shared" si="118"/>
        <v>0</v>
      </c>
      <c r="AV96" s="34">
        <f t="shared" si="119"/>
        <v>0</v>
      </c>
    </row>
    <row r="97" spans="1:48" s="6" customFormat="1" ht="15" customHeight="1">
      <c r="A97" s="1901"/>
      <c r="B97" s="1448" t="s">
        <v>769</v>
      </c>
      <c r="C97" s="1454">
        <f t="shared" si="120"/>
        <v>0</v>
      </c>
      <c r="D97" s="1438"/>
      <c r="E97" s="1439"/>
      <c r="F97" s="1367">
        <f t="shared" si="104"/>
        <v>0</v>
      </c>
      <c r="G97" s="1438"/>
      <c r="H97" s="1424"/>
      <c r="I97" s="1454">
        <f t="shared" si="105"/>
        <v>0</v>
      </c>
      <c r="J97" s="1438"/>
      <c r="K97" s="1424"/>
      <c r="L97" s="1368">
        <f t="shared" si="106"/>
        <v>0</v>
      </c>
      <c r="M97" s="1438"/>
      <c r="N97" s="1424"/>
      <c r="O97" s="6" t="str">
        <f t="shared" si="107"/>
        <v/>
      </c>
      <c r="AA97" s="5"/>
      <c r="AB97" s="5"/>
      <c r="AC97" s="5"/>
      <c r="AD97" s="5"/>
      <c r="AE97" s="5"/>
      <c r="AF97" s="5"/>
      <c r="AG97" s="5"/>
      <c r="AH97" s="5"/>
      <c r="AI97" s="5"/>
      <c r="AJ97" s="142" t="str">
        <f t="shared" si="108"/>
        <v/>
      </c>
      <c r="AK97" s="142" t="str">
        <f t="shared" si="109"/>
        <v/>
      </c>
      <c r="AL97" s="142" t="str">
        <f t="shared" si="110"/>
        <v/>
      </c>
      <c r="AM97" s="142" t="str">
        <f t="shared" si="111"/>
        <v/>
      </c>
      <c r="AN97" s="142" t="str">
        <f t="shared" si="112"/>
        <v/>
      </c>
      <c r="AO97" s="142" t="str">
        <f t="shared" si="113"/>
        <v/>
      </c>
      <c r="AP97" s="5"/>
      <c r="AQ97" s="34">
        <f t="shared" si="114"/>
        <v>0</v>
      </c>
      <c r="AR97" s="34">
        <f t="shared" si="115"/>
        <v>0</v>
      </c>
      <c r="AS97" s="34">
        <f t="shared" si="116"/>
        <v>0</v>
      </c>
      <c r="AT97" s="34">
        <f t="shared" si="117"/>
        <v>0</v>
      </c>
      <c r="AU97" s="34">
        <f t="shared" si="118"/>
        <v>0</v>
      </c>
      <c r="AV97" s="34">
        <f t="shared" si="119"/>
        <v>0</v>
      </c>
    </row>
    <row r="98" spans="1:48" s="6" customFormat="1" ht="15" customHeight="1">
      <c r="A98" s="2279" t="s">
        <v>773</v>
      </c>
      <c r="B98" s="1447" t="s">
        <v>724</v>
      </c>
      <c r="C98" s="1453">
        <f t="shared" si="120"/>
        <v>0</v>
      </c>
      <c r="D98" s="1313"/>
      <c r="E98" s="1371"/>
      <c r="F98" s="1381">
        <f t="shared" si="104"/>
        <v>0</v>
      </c>
      <c r="G98" s="1313"/>
      <c r="H98" s="1314"/>
      <c r="I98" s="1453">
        <f t="shared" si="105"/>
        <v>0</v>
      </c>
      <c r="J98" s="1313"/>
      <c r="K98" s="1314"/>
      <c r="L98" s="1382">
        <f t="shared" si="106"/>
        <v>0</v>
      </c>
      <c r="M98" s="1313"/>
      <c r="N98" s="1314"/>
      <c r="O98" s="6" t="str">
        <f t="shared" si="107"/>
        <v/>
      </c>
      <c r="AA98" s="5"/>
      <c r="AB98" s="5"/>
      <c r="AC98" s="5"/>
      <c r="AD98" s="5"/>
      <c r="AE98" s="5"/>
      <c r="AF98" s="5"/>
      <c r="AG98" s="5"/>
      <c r="AH98" s="5"/>
      <c r="AI98" s="5"/>
      <c r="AJ98" s="142" t="str">
        <f t="shared" si="108"/>
        <v/>
      </c>
      <c r="AK98" s="142" t="str">
        <f t="shared" si="109"/>
        <v/>
      </c>
      <c r="AL98" s="142" t="str">
        <f t="shared" si="110"/>
        <v/>
      </c>
      <c r="AM98" s="142" t="str">
        <f t="shared" si="111"/>
        <v/>
      </c>
      <c r="AN98" s="142" t="str">
        <f t="shared" si="112"/>
        <v/>
      </c>
      <c r="AO98" s="142" t="str">
        <f t="shared" si="113"/>
        <v/>
      </c>
      <c r="AP98" s="5"/>
      <c r="AQ98" s="34">
        <f t="shared" si="114"/>
        <v>0</v>
      </c>
      <c r="AR98" s="34">
        <f t="shared" si="115"/>
        <v>0</v>
      </c>
      <c r="AS98" s="34">
        <f t="shared" si="116"/>
        <v>0</v>
      </c>
      <c r="AT98" s="34">
        <f t="shared" si="117"/>
        <v>0</v>
      </c>
      <c r="AU98" s="34">
        <f t="shared" si="118"/>
        <v>0</v>
      </c>
      <c r="AV98" s="34">
        <f t="shared" si="119"/>
        <v>0</v>
      </c>
    </row>
    <row r="99" spans="1:48" s="6" customFormat="1" ht="15" customHeight="1">
      <c r="A99" s="1901"/>
      <c r="B99" s="1448" t="s">
        <v>769</v>
      </c>
      <c r="C99" s="1454">
        <f t="shared" si="120"/>
        <v>0</v>
      </c>
      <c r="D99" s="1438"/>
      <c r="E99" s="1439"/>
      <c r="F99" s="1367">
        <f t="shared" si="104"/>
        <v>0</v>
      </c>
      <c r="G99" s="1438"/>
      <c r="H99" s="1424"/>
      <c r="I99" s="1454">
        <f t="shared" si="105"/>
        <v>0</v>
      </c>
      <c r="J99" s="1438"/>
      <c r="K99" s="1424"/>
      <c r="L99" s="1368">
        <f t="shared" si="106"/>
        <v>0</v>
      </c>
      <c r="M99" s="1438"/>
      <c r="N99" s="1424"/>
      <c r="O99" s="6" t="str">
        <f t="shared" si="107"/>
        <v/>
      </c>
      <c r="AA99" s="5"/>
      <c r="AB99" s="5"/>
      <c r="AC99" s="5"/>
      <c r="AD99" s="5"/>
      <c r="AE99" s="5"/>
      <c r="AF99" s="5"/>
      <c r="AG99" s="5"/>
      <c r="AH99" s="5"/>
      <c r="AI99" s="5"/>
      <c r="AJ99" s="142" t="str">
        <f t="shared" si="108"/>
        <v/>
      </c>
      <c r="AK99" s="142" t="str">
        <f t="shared" si="109"/>
        <v/>
      </c>
      <c r="AL99" s="142" t="str">
        <f t="shared" si="110"/>
        <v/>
      </c>
      <c r="AM99" s="142" t="str">
        <f t="shared" si="111"/>
        <v/>
      </c>
      <c r="AN99" s="142" t="str">
        <f t="shared" si="112"/>
        <v/>
      </c>
      <c r="AO99" s="142" t="str">
        <f t="shared" si="113"/>
        <v/>
      </c>
      <c r="AP99" s="5"/>
      <c r="AQ99" s="34">
        <f t="shared" si="114"/>
        <v>0</v>
      </c>
      <c r="AR99" s="34">
        <f t="shared" si="115"/>
        <v>0</v>
      </c>
      <c r="AS99" s="34">
        <f t="shared" si="116"/>
        <v>0</v>
      </c>
      <c r="AT99" s="34">
        <f t="shared" si="117"/>
        <v>0</v>
      </c>
      <c r="AU99" s="34">
        <f t="shared" si="118"/>
        <v>0</v>
      </c>
      <c r="AV99" s="34">
        <f t="shared" si="119"/>
        <v>0</v>
      </c>
    </row>
    <row r="100" spans="1:48" s="6" customFormat="1" ht="15" customHeight="1">
      <c r="A100" s="2279" t="s">
        <v>774</v>
      </c>
      <c r="B100" s="1447" t="s">
        <v>724</v>
      </c>
      <c r="C100" s="1453">
        <f t="shared" si="120"/>
        <v>0</v>
      </c>
      <c r="D100" s="1313"/>
      <c r="E100" s="1371"/>
      <c r="F100" s="1381">
        <f t="shared" si="104"/>
        <v>0</v>
      </c>
      <c r="G100" s="1313"/>
      <c r="H100" s="1314"/>
      <c r="I100" s="1453">
        <f t="shared" si="105"/>
        <v>0</v>
      </c>
      <c r="J100" s="1313"/>
      <c r="K100" s="1314"/>
      <c r="L100" s="1382">
        <f t="shared" si="106"/>
        <v>0</v>
      </c>
      <c r="M100" s="1313"/>
      <c r="N100" s="1314"/>
      <c r="O100" s="6" t="str">
        <f t="shared" si="107"/>
        <v/>
      </c>
      <c r="AA100" s="5"/>
      <c r="AB100" s="5"/>
      <c r="AC100" s="5"/>
      <c r="AD100" s="5"/>
      <c r="AE100" s="5"/>
      <c r="AF100" s="5"/>
      <c r="AG100" s="5"/>
      <c r="AH100" s="5"/>
      <c r="AI100" s="5"/>
      <c r="AJ100" s="142" t="str">
        <f t="shared" si="108"/>
        <v/>
      </c>
      <c r="AK100" s="142" t="str">
        <f t="shared" si="109"/>
        <v/>
      </c>
      <c r="AL100" s="142" t="str">
        <f t="shared" si="110"/>
        <v/>
      </c>
      <c r="AM100" s="142" t="str">
        <f t="shared" si="111"/>
        <v/>
      </c>
      <c r="AN100" s="142" t="str">
        <f t="shared" si="112"/>
        <v/>
      </c>
      <c r="AO100" s="142" t="str">
        <f t="shared" si="113"/>
        <v/>
      </c>
      <c r="AP100" s="5"/>
      <c r="AQ100" s="34">
        <f t="shared" si="114"/>
        <v>0</v>
      </c>
      <c r="AR100" s="34">
        <f t="shared" si="115"/>
        <v>0</v>
      </c>
      <c r="AS100" s="34">
        <f t="shared" si="116"/>
        <v>0</v>
      </c>
      <c r="AT100" s="34">
        <f t="shared" si="117"/>
        <v>0</v>
      </c>
      <c r="AU100" s="34">
        <f t="shared" si="118"/>
        <v>0</v>
      </c>
      <c r="AV100" s="34">
        <f t="shared" si="119"/>
        <v>0</v>
      </c>
    </row>
    <row r="101" spans="1:48" s="6" customFormat="1" ht="15" customHeight="1">
      <c r="A101" s="1901"/>
      <c r="B101" s="1455" t="s">
        <v>769</v>
      </c>
      <c r="C101" s="1454">
        <f t="shared" si="120"/>
        <v>0</v>
      </c>
      <c r="D101" s="1438"/>
      <c r="E101" s="1439"/>
      <c r="F101" s="1367">
        <f t="shared" si="104"/>
        <v>0</v>
      </c>
      <c r="G101" s="1438"/>
      <c r="H101" s="1424"/>
      <c r="I101" s="1454">
        <f t="shared" si="105"/>
        <v>0</v>
      </c>
      <c r="J101" s="1438"/>
      <c r="K101" s="1424"/>
      <c r="L101" s="1368">
        <f t="shared" si="106"/>
        <v>0</v>
      </c>
      <c r="M101" s="1438"/>
      <c r="N101" s="1424"/>
      <c r="O101" s="6" t="str">
        <f t="shared" si="107"/>
        <v/>
      </c>
      <c r="AA101" s="5"/>
      <c r="AB101" s="5"/>
      <c r="AC101" s="5"/>
      <c r="AD101" s="5"/>
      <c r="AE101" s="5"/>
      <c r="AF101" s="5"/>
      <c r="AG101" s="5"/>
      <c r="AH101" s="5"/>
      <c r="AI101" s="5"/>
      <c r="AJ101" s="142" t="str">
        <f t="shared" si="108"/>
        <v/>
      </c>
      <c r="AK101" s="142" t="str">
        <f t="shared" si="109"/>
        <v/>
      </c>
      <c r="AL101" s="142" t="str">
        <f t="shared" si="110"/>
        <v/>
      </c>
      <c r="AM101" s="142" t="str">
        <f t="shared" si="111"/>
        <v/>
      </c>
      <c r="AN101" s="142" t="str">
        <f t="shared" si="112"/>
        <v/>
      </c>
      <c r="AO101" s="142" t="str">
        <f t="shared" si="113"/>
        <v/>
      </c>
      <c r="AP101" s="5"/>
      <c r="AQ101" s="34">
        <f t="shared" si="114"/>
        <v>0</v>
      </c>
      <c r="AR101" s="34">
        <f t="shared" si="115"/>
        <v>0</v>
      </c>
      <c r="AS101" s="34">
        <f t="shared" si="116"/>
        <v>0</v>
      </c>
      <c r="AT101" s="34">
        <f t="shared" si="117"/>
        <v>0</v>
      </c>
      <c r="AU101" s="34">
        <f t="shared" si="118"/>
        <v>0</v>
      </c>
      <c r="AV101" s="34">
        <f t="shared" si="119"/>
        <v>0</v>
      </c>
    </row>
    <row r="102" spans="1:48" s="6" customFormat="1" ht="15" customHeight="1">
      <c r="A102" s="2279" t="s">
        <v>775</v>
      </c>
      <c r="B102" s="1456" t="s">
        <v>724</v>
      </c>
      <c r="C102" s="1457">
        <f t="shared" si="120"/>
        <v>0</v>
      </c>
      <c r="D102" s="1339"/>
      <c r="E102" s="1341"/>
      <c r="F102" s="1362">
        <f t="shared" si="104"/>
        <v>0</v>
      </c>
      <c r="G102" s="1339"/>
      <c r="H102" s="1340"/>
      <c r="I102" s="1457">
        <f t="shared" si="105"/>
        <v>0</v>
      </c>
      <c r="J102" s="1339"/>
      <c r="K102" s="1340"/>
      <c r="L102" s="1363">
        <f>SUM(M102:N102)</f>
        <v>0</v>
      </c>
      <c r="M102" s="1339"/>
      <c r="N102" s="1340"/>
      <c r="O102" s="6" t="str">
        <f t="shared" si="107"/>
        <v/>
      </c>
      <c r="AA102" s="5"/>
      <c r="AB102" s="5"/>
      <c r="AC102" s="5"/>
      <c r="AD102" s="5"/>
      <c r="AE102" s="5"/>
      <c r="AF102" s="5"/>
      <c r="AG102" s="5"/>
      <c r="AH102" s="5"/>
      <c r="AI102" s="5"/>
      <c r="AJ102" s="142" t="str">
        <f t="shared" si="108"/>
        <v/>
      </c>
      <c r="AK102" s="142" t="str">
        <f t="shared" si="109"/>
        <v/>
      </c>
      <c r="AL102" s="142" t="str">
        <f t="shared" si="110"/>
        <v/>
      </c>
      <c r="AM102" s="142" t="str">
        <f t="shared" si="111"/>
        <v/>
      </c>
      <c r="AN102" s="142" t="str">
        <f t="shared" si="112"/>
        <v/>
      </c>
      <c r="AO102" s="142" t="str">
        <f t="shared" si="113"/>
        <v/>
      </c>
      <c r="AP102" s="5"/>
      <c r="AQ102" s="34">
        <f t="shared" si="114"/>
        <v>0</v>
      </c>
      <c r="AR102" s="34">
        <f t="shared" si="115"/>
        <v>0</v>
      </c>
      <c r="AS102" s="34">
        <f t="shared" si="116"/>
        <v>0</v>
      </c>
      <c r="AT102" s="34">
        <f t="shared" si="117"/>
        <v>0</v>
      </c>
      <c r="AU102" s="34">
        <f t="shared" si="118"/>
        <v>0</v>
      </c>
      <c r="AV102" s="34">
        <f t="shared" si="119"/>
        <v>0</v>
      </c>
    </row>
    <row r="103" spans="1:48" s="6" customFormat="1" ht="15" customHeight="1">
      <c r="A103" s="1901"/>
      <c r="B103" s="1455" t="s">
        <v>769</v>
      </c>
      <c r="C103" s="1377">
        <f t="shared" si="120"/>
        <v>0</v>
      </c>
      <c r="D103" s="1438"/>
      <c r="E103" s="1458"/>
      <c r="F103" s="1378">
        <f t="shared" si="104"/>
        <v>0</v>
      </c>
      <c r="G103" s="1438"/>
      <c r="H103" s="1424"/>
      <c r="I103" s="1377">
        <f t="shared" si="105"/>
        <v>0</v>
      </c>
      <c r="J103" s="1438"/>
      <c r="K103" s="1424"/>
      <c r="L103" s="1379">
        <f>SUM(M103:N103)</f>
        <v>0</v>
      </c>
      <c r="M103" s="1438"/>
      <c r="N103" s="1424"/>
      <c r="O103" s="6" t="str">
        <f>AJ103&amp;AK103&amp;AL103&amp;AM103&amp;AN103&amp;AO103</f>
        <v/>
      </c>
      <c r="P103" s="1459"/>
      <c r="Q103" s="1459"/>
      <c r="R103" s="1459"/>
      <c r="AA103" s="5"/>
      <c r="AB103" s="5"/>
      <c r="AC103" s="5"/>
      <c r="AD103" s="5"/>
      <c r="AE103" s="5"/>
      <c r="AF103" s="5"/>
      <c r="AG103" s="5"/>
      <c r="AH103" s="5"/>
      <c r="AI103" s="5"/>
      <c r="AJ103" s="142" t="str">
        <f t="shared" si="108"/>
        <v/>
      </c>
      <c r="AK103" s="142" t="str">
        <f t="shared" si="109"/>
        <v/>
      </c>
      <c r="AL103" s="142" t="str">
        <f t="shared" si="110"/>
        <v/>
      </c>
      <c r="AM103" s="142" t="str">
        <f t="shared" si="111"/>
        <v/>
      </c>
      <c r="AN103" s="142" t="str">
        <f t="shared" si="112"/>
        <v/>
      </c>
      <c r="AO103" s="142" t="str">
        <f t="shared" si="113"/>
        <v/>
      </c>
      <c r="AP103" s="5"/>
      <c r="AQ103" s="34">
        <f t="shared" si="114"/>
        <v>0</v>
      </c>
      <c r="AR103" s="34">
        <f t="shared" si="115"/>
        <v>0</v>
      </c>
      <c r="AS103" s="34">
        <f t="shared" si="116"/>
        <v>0</v>
      </c>
      <c r="AT103" s="34">
        <f t="shared" si="117"/>
        <v>0</v>
      </c>
      <c r="AU103" s="34">
        <f t="shared" si="118"/>
        <v>0</v>
      </c>
      <c r="AV103" s="34">
        <f t="shared" si="119"/>
        <v>0</v>
      </c>
    </row>
    <row r="104" spans="1:48" ht="15" customHeight="1"/>
    <row r="105" spans="1:48" ht="15" customHeight="1"/>
    <row r="108" spans="1:48">
      <c r="A108" s="2"/>
      <c r="B108" s="2"/>
    </row>
    <row r="109" spans="1:48" ht="11.4" hidden="1" customHeight="1">
      <c r="A109" s="1093">
        <f>SUM(C16:C42,C12,,C49:C54,C58:C67,C71:C78,C82:C86,C90:C103)</f>
        <v>0</v>
      </c>
      <c r="B109" s="383" t="s">
        <v>142</v>
      </c>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48" ht="11.4" hidden="1" customHeight="1">
      <c r="A110" s="1093">
        <f>SUM(AQ12:AV103)</f>
        <v>0</v>
      </c>
      <c r="B110" s="383" t="s">
        <v>143</v>
      </c>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48" ht="11.4" customHeight="1"/>
  </sheetData>
  <mergeCells count="93">
    <mergeCell ref="A7:Q7"/>
    <mergeCell ref="A9:Q9"/>
    <mergeCell ref="AJ9:AK9"/>
    <mergeCell ref="AL9:AM9"/>
    <mergeCell ref="A10:B11"/>
    <mergeCell ref="C10:E10"/>
    <mergeCell ref="F10:H10"/>
    <mergeCell ref="I10:K10"/>
    <mergeCell ref="L10:N10"/>
    <mergeCell ref="O10:Q10"/>
    <mergeCell ref="A12:B12"/>
    <mergeCell ref="A13:Q13"/>
    <mergeCell ref="A14:B15"/>
    <mergeCell ref="C14:E14"/>
    <mergeCell ref="F14:H14"/>
    <mergeCell ref="I14:K14"/>
    <mergeCell ref="L14:N14"/>
    <mergeCell ref="O14:Q14"/>
    <mergeCell ref="A53:B53"/>
    <mergeCell ref="A16:A23"/>
    <mergeCell ref="A24:A30"/>
    <mergeCell ref="A31:A34"/>
    <mergeCell ref="A35:A43"/>
    <mergeCell ref="A44:Q44"/>
    <mergeCell ref="A45:B48"/>
    <mergeCell ref="C45:E47"/>
    <mergeCell ref="F45:H47"/>
    <mergeCell ref="I45:K47"/>
    <mergeCell ref="L45:N47"/>
    <mergeCell ref="O45:Q47"/>
    <mergeCell ref="A49:B49"/>
    <mergeCell ref="A50:B50"/>
    <mergeCell ref="A51:B51"/>
    <mergeCell ref="A52:B52"/>
    <mergeCell ref="A63:B63"/>
    <mergeCell ref="A54:B54"/>
    <mergeCell ref="A55:Q55"/>
    <mergeCell ref="A56:B57"/>
    <mergeCell ref="C56:E56"/>
    <mergeCell ref="F56:H56"/>
    <mergeCell ref="I56:K56"/>
    <mergeCell ref="L56:N56"/>
    <mergeCell ref="O56:Q56"/>
    <mergeCell ref="A58:B58"/>
    <mergeCell ref="A59:B59"/>
    <mergeCell ref="A60:B60"/>
    <mergeCell ref="A61:B61"/>
    <mergeCell ref="A62:B62"/>
    <mergeCell ref="A75:B75"/>
    <mergeCell ref="A64:B64"/>
    <mergeCell ref="A65:B65"/>
    <mergeCell ref="A66:B66"/>
    <mergeCell ref="A67:B67"/>
    <mergeCell ref="A68:Q68"/>
    <mergeCell ref="A69:B70"/>
    <mergeCell ref="C69:E69"/>
    <mergeCell ref="F69:H69"/>
    <mergeCell ref="I69:K69"/>
    <mergeCell ref="L69:N69"/>
    <mergeCell ref="O69:Q69"/>
    <mergeCell ref="A71:B71"/>
    <mergeCell ref="A72:B72"/>
    <mergeCell ref="A73:B73"/>
    <mergeCell ref="A74:B74"/>
    <mergeCell ref="A76:B76"/>
    <mergeCell ref="A77:B77"/>
    <mergeCell ref="A78:B78"/>
    <mergeCell ref="A79:Q79"/>
    <mergeCell ref="A80:B81"/>
    <mergeCell ref="C80:E80"/>
    <mergeCell ref="F80:H80"/>
    <mergeCell ref="I80:K80"/>
    <mergeCell ref="L80:N80"/>
    <mergeCell ref="O80:Q80"/>
    <mergeCell ref="L88:N88"/>
    <mergeCell ref="A82:B82"/>
    <mergeCell ref="A83:B83"/>
    <mergeCell ref="A84:B84"/>
    <mergeCell ref="A85:B85"/>
    <mergeCell ref="A86:B86"/>
    <mergeCell ref="A87:N87"/>
    <mergeCell ref="A88:A89"/>
    <mergeCell ref="B88:B89"/>
    <mergeCell ref="C88:E88"/>
    <mergeCell ref="F88:H88"/>
    <mergeCell ref="I88:K88"/>
    <mergeCell ref="A102:A103"/>
    <mergeCell ref="A90:A91"/>
    <mergeCell ref="A92:A93"/>
    <mergeCell ref="A94:A95"/>
    <mergeCell ref="A96:A97"/>
    <mergeCell ref="A98:A99"/>
    <mergeCell ref="A100:A101"/>
  </mergeCells>
  <dataValidations count="9">
    <dataValidation type="whole" allowBlank="1" showInputMessage="1" showErrorMessage="1" sqref="P12" xr:uid="{22BB8C2F-6829-4768-8E40-3601F42249B4}">
      <formula1>0</formula1>
      <formula2>9.99999999999999E+35</formula2>
    </dataValidation>
    <dataValidation type="whole" allowBlank="1" showInputMessage="1" showErrorMessage="1" sqref="M12:N12" xr:uid="{9C169559-3E7F-4A20-9B99-7BA79EB29351}">
      <formula1>0</formula1>
      <formula2>9.99999999999999E+38</formula2>
    </dataValidation>
    <dataValidation type="whole" allowBlank="1" showInputMessage="1" showErrorMessage="1" sqref="K12" xr:uid="{24ADF1F7-3ECF-44AA-A149-EB802BDFF01D}">
      <formula1>0</formula1>
      <formula2>9.99999999999999E+40</formula2>
    </dataValidation>
    <dataValidation type="whole" allowBlank="1" showInputMessage="1" showErrorMessage="1" sqref="H12 J12" xr:uid="{A1E2BF9B-D5A1-480B-960D-6F43897B72E7}">
      <formula1>0</formula1>
      <formula2>9.99999999999999E+39</formula2>
    </dataValidation>
    <dataValidation type="whole" allowBlank="1" showInputMessage="1" showErrorMessage="1" sqref="G12 Q12" xr:uid="{A12306E1-6A2C-412B-8721-23855F4B1CA0}">
      <formula1>0</formula1>
      <formula2>9.99999999999999E+36</formula2>
    </dataValidation>
    <dataValidation operator="greaterThanOrEqual" allowBlank="1" showInputMessage="1" showErrorMessage="1" sqref="I80" xr:uid="{FB1A9674-B381-46BE-A5EB-9A2518F29AF7}"/>
    <dataValidation type="whole" operator="greaterThanOrEqual" allowBlank="1" showInputMessage="1" showErrorMessage="1" sqref="R79:T79 G81:Q86 D90:N103 G16:Q43 G49:Q54 G58:Q67 G71:Q78 O80 L80" xr:uid="{80BC7785-73FD-4512-8C49-75D66D50F9AF}">
      <formula1>0</formula1>
    </dataValidation>
    <dataValidation allowBlank="1" showInputMessage="1" showErrorMessage="1" errorTitle=" Error de ingreso" error="Debe ingresar sólo números enteros positivos." sqref="S15 S17 P92 P95" xr:uid="{CB02A58A-C333-4250-8B1B-77A302DE4364}"/>
    <dataValidation allowBlank="1" showInputMessage="1" showErrorMessage="1" errorTitle="Error de ingreso" error="Debe ingresar sólo números enteros positivos." sqref="A2:A5" xr:uid="{B764FE82-5798-4D6D-9D69-0E2391B99A5F}"/>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8CA3-4CEC-483C-A7CF-3AD639ED2ED9}">
  <sheetPr>
    <tabColor rgb="FFFF0000"/>
  </sheetPr>
  <dimension ref="A1:DA38"/>
  <sheetViews>
    <sheetView workbookViewId="0"/>
  </sheetViews>
  <sheetFormatPr baseColWidth="10" defaultColWidth="11.453125" defaultRowHeight="14.5"/>
  <cols>
    <col min="1" max="1" width="40" style="6" customWidth="1"/>
    <col min="2" max="2" width="21.90625" style="6" customWidth="1"/>
    <col min="3" max="3" width="27.36328125" style="6" customWidth="1"/>
    <col min="4" max="4" width="18.90625" style="6" customWidth="1"/>
    <col min="5" max="6" width="11.08984375" style="6" customWidth="1"/>
    <col min="7" max="18" width="10" style="6" customWidth="1"/>
    <col min="19" max="32" width="10" style="5" customWidth="1"/>
    <col min="33" max="34" width="9.36328125" style="5" customWidth="1"/>
    <col min="35" max="44" width="9.54296875" style="5" customWidth="1"/>
    <col min="45" max="45" width="11.6328125" style="5" customWidth="1"/>
    <col min="46" max="46" width="11" style="5" customWidth="1"/>
    <col min="47" max="47" width="10.54296875" style="5" customWidth="1"/>
    <col min="48" max="48" width="10.08984375" style="5" customWidth="1"/>
    <col min="49" max="49" width="15.08984375" style="5" customWidth="1"/>
    <col min="50" max="50" width="14.08984375" style="5" customWidth="1"/>
    <col min="51" max="51" width="7.90625" style="5" customWidth="1"/>
    <col min="52" max="53" width="12.08984375" style="5" customWidth="1"/>
    <col min="79" max="95" width="12.08984375" style="5" hidden="1" customWidth="1"/>
    <col min="96" max="102" width="12.08984375" style="5" customWidth="1"/>
    <col min="103" max="104" width="11.6328125" style="5" customWidth="1"/>
    <col min="105" max="16384" width="11.453125" style="5"/>
  </cols>
  <sheetData>
    <row r="1" spans="1:100" ht="13.5" customHeight="1">
      <c r="A1" s="1" t="s">
        <v>0</v>
      </c>
      <c r="B1" s="1460"/>
      <c r="C1" s="1460"/>
      <c r="D1" s="1460"/>
      <c r="E1" s="1460"/>
      <c r="F1" s="1460"/>
      <c r="G1" s="1460"/>
      <c r="H1" s="1460"/>
      <c r="I1" s="1460"/>
      <c r="J1" s="1460"/>
      <c r="K1" s="1460"/>
      <c r="L1" s="1461"/>
    </row>
    <row r="2" spans="1:100" ht="13.5" customHeight="1">
      <c r="A2" s="1" t="str">
        <f>CONCATENATE("COMUNA: ",[1]NOMBRE!$B$2,"   ","( ",[1]NOMBRE!$C$2,[1]NOMBRE!$D$2,[1]NOMBRE!$E$2,[1]NOMBRE!$F$2,[1]NOMBRE!$G$2," )")</f>
        <v>COMUNA:    (  )</v>
      </c>
      <c r="B2" s="1460"/>
      <c r="C2" s="1460"/>
      <c r="D2" s="1460"/>
      <c r="E2" s="1460"/>
      <c r="F2" s="1460"/>
      <c r="G2" s="1460"/>
      <c r="H2" s="1460"/>
      <c r="I2" s="1460"/>
      <c r="J2" s="1460"/>
      <c r="K2" s="1460"/>
      <c r="L2" s="1461"/>
    </row>
    <row r="3" spans="1:100" ht="13.5" customHeight="1">
      <c r="A3" s="1" t="str">
        <f>CONCATENATE("ESTABLECIMIENTO/ESTRATEGIA: ",[1]NOMBRE!$B$3,"   ","( ",[1]NOMBRE!$C$3,[1]NOMBRE!$D$3,[1]NOMBRE!$E$3,[1]NOMBRE!$F$3,[1]NOMBRE!$G$3,[1]NOMBRE!$H$3," )")</f>
        <v>ESTABLECIMIENTO/ESTRATEGIA:    (  )</v>
      </c>
      <c r="B3" s="1460"/>
      <c r="C3" s="1462"/>
      <c r="D3" s="1460"/>
      <c r="E3" s="1460"/>
      <c r="F3" s="1460"/>
      <c r="G3" s="1460"/>
      <c r="H3" s="1460"/>
      <c r="I3" s="1460"/>
      <c r="J3" s="1460"/>
      <c r="K3" s="1460"/>
      <c r="L3" s="1461"/>
    </row>
    <row r="4" spans="1:100" ht="13.5" customHeight="1">
      <c r="A4" s="1" t="str">
        <f>CONCATENATE("MES: ",[1]NOMBRE!$B$6,"   ","( ",[1]NOMBRE!$C$6,[1]NOMBRE!$D$6," )")</f>
        <v>MES:    (  )</v>
      </c>
      <c r="B4" s="1460"/>
      <c r="C4" s="1460"/>
      <c r="D4" s="1460"/>
      <c r="E4" s="1460"/>
      <c r="F4" s="1460"/>
      <c r="G4" s="1460"/>
      <c r="H4" s="1460"/>
      <c r="I4" s="1460"/>
      <c r="J4" s="1460"/>
      <c r="K4" s="1460"/>
      <c r="L4" s="1461"/>
    </row>
    <row r="5" spans="1:100" ht="13.5" customHeight="1">
      <c r="A5" s="1" t="str">
        <f>CONCATENATE("AÑO: ",[1]NOMBRE!$B$7)</f>
        <v>AÑO: 2025</v>
      </c>
      <c r="B5" s="1460"/>
      <c r="C5" s="1460"/>
      <c r="D5" s="1460"/>
      <c r="E5" s="1460"/>
      <c r="F5" s="1460"/>
      <c r="G5" s="1460"/>
      <c r="H5" s="1460"/>
      <c r="I5" s="1460"/>
      <c r="J5" s="1460"/>
      <c r="K5" s="1460"/>
      <c r="L5" s="1461"/>
    </row>
    <row r="6" spans="1:100">
      <c r="A6" s="1463"/>
      <c r="B6" s="1460"/>
      <c r="C6" s="1460"/>
      <c r="D6" s="1460"/>
      <c r="E6" s="1460"/>
      <c r="F6" s="1460"/>
      <c r="G6" s="1460"/>
      <c r="H6" s="1460"/>
      <c r="I6" s="1460"/>
      <c r="J6" s="1460"/>
      <c r="K6" s="1460"/>
      <c r="L6" s="1461"/>
    </row>
    <row r="7" spans="1:100" ht="15">
      <c r="A7" s="2355" t="s">
        <v>777</v>
      </c>
      <c r="B7" s="2355"/>
      <c r="C7" s="2355"/>
      <c r="D7" s="2355"/>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1464"/>
      <c r="AD7" s="1464"/>
      <c r="AE7" s="1464"/>
      <c r="AF7" s="1464"/>
      <c r="AG7" s="1464"/>
      <c r="AH7" s="1464"/>
      <c r="AI7" s="1464"/>
      <c r="AJ7" s="1464"/>
      <c r="AK7" s="1464"/>
      <c r="AL7" s="1464"/>
      <c r="AM7" s="1464"/>
      <c r="AN7" s="1464"/>
      <c r="AO7" s="1464"/>
      <c r="AP7" s="1464"/>
      <c r="AQ7" s="1464"/>
      <c r="AR7" s="1464"/>
    </row>
    <row r="8" spans="1:100" ht="17.149999999999999" customHeight="1">
      <c r="A8" s="2356" t="s">
        <v>778</v>
      </c>
      <c r="B8" s="2356"/>
      <c r="C8" s="2356"/>
      <c r="D8" s="2356"/>
      <c r="E8" s="2356"/>
      <c r="F8" s="2356"/>
      <c r="G8" s="2356"/>
      <c r="H8" s="2356"/>
      <c r="I8" s="2356"/>
      <c r="J8" s="2356"/>
      <c r="K8" s="1461"/>
      <c r="L8" s="1461"/>
    </row>
    <row r="9" spans="1:100" ht="15" customHeight="1">
      <c r="A9" s="2357" t="s">
        <v>779</v>
      </c>
      <c r="B9" s="2357"/>
      <c r="C9" s="2358"/>
      <c r="D9" s="2337" t="s">
        <v>5</v>
      </c>
      <c r="E9" s="2338"/>
      <c r="F9" s="2339"/>
      <c r="G9" s="2343" t="s">
        <v>354</v>
      </c>
      <c r="H9" s="2344"/>
      <c r="I9" s="2344"/>
      <c r="J9" s="2344"/>
      <c r="K9" s="2344"/>
      <c r="L9" s="2344"/>
      <c r="M9" s="2344"/>
      <c r="N9" s="2344"/>
      <c r="O9" s="2344"/>
      <c r="P9" s="2344"/>
      <c r="Q9" s="2344"/>
      <c r="R9" s="2344"/>
      <c r="S9" s="2344"/>
      <c r="T9" s="2344"/>
      <c r="U9" s="2344"/>
      <c r="V9" s="2344"/>
      <c r="W9" s="2344"/>
      <c r="X9" s="2344"/>
      <c r="Y9" s="2344"/>
      <c r="Z9" s="2344"/>
      <c r="AA9" s="2344"/>
      <c r="AB9" s="2344"/>
      <c r="AC9" s="2344"/>
      <c r="AD9" s="2344"/>
      <c r="AE9" s="2344"/>
      <c r="AF9" s="2344"/>
      <c r="AG9" s="2344"/>
      <c r="AH9" s="2344"/>
      <c r="AI9" s="2344"/>
      <c r="AJ9" s="2344"/>
      <c r="AK9" s="2344"/>
      <c r="AL9" s="2344"/>
      <c r="AM9" s="2344"/>
      <c r="AN9" s="2344"/>
      <c r="AO9" s="2344"/>
      <c r="AP9" s="2344"/>
      <c r="AQ9" s="2344"/>
      <c r="AR9" s="2345"/>
      <c r="AS9" s="2076" t="s">
        <v>581</v>
      </c>
      <c r="AT9" s="2080"/>
      <c r="AU9" s="2330" t="s">
        <v>7</v>
      </c>
      <c r="AV9" s="2350" t="s">
        <v>58</v>
      </c>
      <c r="AW9" s="2350" t="s">
        <v>573</v>
      </c>
      <c r="AX9" s="2352" t="s">
        <v>343</v>
      </c>
      <c r="CA9" s="2321" t="s">
        <v>581</v>
      </c>
      <c r="CB9" s="2080"/>
      <c r="CC9" s="2084" t="s">
        <v>7</v>
      </c>
      <c r="CD9" s="2084" t="s">
        <v>261</v>
      </c>
      <c r="CE9" s="2084" t="s">
        <v>780</v>
      </c>
      <c r="CF9" s="2084" t="s">
        <v>781</v>
      </c>
      <c r="CG9" s="2049"/>
      <c r="CH9" s="2049"/>
      <c r="CI9" s="2049"/>
      <c r="CJ9" s="2049"/>
      <c r="CK9" s="2049"/>
      <c r="CL9" s="2321" t="s">
        <v>581</v>
      </c>
      <c r="CM9" s="2080"/>
      <c r="CN9" s="2084" t="s">
        <v>7</v>
      </c>
      <c r="CO9" s="2084" t="s">
        <v>261</v>
      </c>
      <c r="CP9" s="2084" t="s">
        <v>780</v>
      </c>
      <c r="CQ9" s="2321" t="s">
        <v>781</v>
      </c>
      <c r="CR9" s="2049"/>
      <c r="CS9" s="2049"/>
      <c r="CT9" s="2049"/>
      <c r="CU9" s="2049"/>
      <c r="CV9" s="2049"/>
    </row>
    <row r="10" spans="1:100" ht="15" customHeight="1">
      <c r="A10" s="2359"/>
      <c r="B10" s="2359"/>
      <c r="C10" s="2360"/>
      <c r="D10" s="2340"/>
      <c r="E10" s="2341"/>
      <c r="F10" s="2342"/>
      <c r="G10" s="2183" t="s">
        <v>782</v>
      </c>
      <c r="H10" s="2061"/>
      <c r="I10" s="2217" t="s">
        <v>783</v>
      </c>
      <c r="J10" s="2217"/>
      <c r="K10" s="2216" t="s">
        <v>784</v>
      </c>
      <c r="L10" s="2363"/>
      <c r="M10" s="2217" t="s">
        <v>357</v>
      </c>
      <c r="N10" s="2217"/>
      <c r="O10" s="2183" t="s">
        <v>264</v>
      </c>
      <c r="P10" s="2061"/>
      <c r="Q10" s="2217" t="s">
        <v>13</v>
      </c>
      <c r="R10" s="2217"/>
      <c r="S10" s="2328" t="s">
        <v>14</v>
      </c>
      <c r="T10" s="2346"/>
      <c r="U10" s="2329" t="s">
        <v>15</v>
      </c>
      <c r="V10" s="2329"/>
      <c r="W10" s="2328" t="s">
        <v>16</v>
      </c>
      <c r="X10" s="2346"/>
      <c r="Y10" s="2329" t="s">
        <v>17</v>
      </c>
      <c r="Z10" s="2329"/>
      <c r="AA10" s="2328" t="s">
        <v>18</v>
      </c>
      <c r="AB10" s="2346"/>
      <c r="AC10" s="2329" t="s">
        <v>19</v>
      </c>
      <c r="AD10" s="2329"/>
      <c r="AE10" s="2328" t="s">
        <v>20</v>
      </c>
      <c r="AF10" s="2346"/>
      <c r="AG10" s="2328" t="s">
        <v>21</v>
      </c>
      <c r="AH10" s="2346"/>
      <c r="AI10" s="2329" t="s">
        <v>22</v>
      </c>
      <c r="AJ10" s="2329"/>
      <c r="AK10" s="2328" t="s">
        <v>23</v>
      </c>
      <c r="AL10" s="2346"/>
      <c r="AM10" s="2217" t="s">
        <v>358</v>
      </c>
      <c r="AN10" s="2217"/>
      <c r="AO10" s="2183" t="s">
        <v>359</v>
      </c>
      <c r="AP10" s="2061"/>
      <c r="AQ10" s="2217" t="s">
        <v>360</v>
      </c>
      <c r="AR10" s="2218"/>
      <c r="AS10" s="2078"/>
      <c r="AT10" s="1724"/>
      <c r="AU10" s="2331"/>
      <c r="AV10" s="2351"/>
      <c r="AW10" s="2351"/>
      <c r="AX10" s="2353"/>
      <c r="CA10" s="1755"/>
      <c r="CB10" s="1724"/>
      <c r="CC10" s="1907"/>
      <c r="CD10" s="1907"/>
      <c r="CE10" s="1907"/>
      <c r="CF10" s="1907"/>
      <c r="CG10" s="2049"/>
      <c r="CH10" s="2049"/>
      <c r="CI10" s="2049"/>
      <c r="CJ10" s="2049"/>
      <c r="CK10" s="2049"/>
      <c r="CL10" s="1755"/>
      <c r="CM10" s="1724"/>
      <c r="CN10" s="1907"/>
      <c r="CO10" s="1907"/>
      <c r="CP10" s="1907"/>
      <c r="CQ10" s="2354"/>
      <c r="CR10" s="2049"/>
      <c r="CS10" s="2049"/>
      <c r="CT10" s="2049"/>
      <c r="CU10" s="2049"/>
      <c r="CV10" s="2049"/>
    </row>
    <row r="11" spans="1:100">
      <c r="A11" s="2361"/>
      <c r="B11" s="2361"/>
      <c r="C11" s="2362"/>
      <c r="D11" s="1465" t="s">
        <v>178</v>
      </c>
      <c r="E11" s="1466" t="s">
        <v>42</v>
      </c>
      <c r="F11" s="1467" t="s">
        <v>179</v>
      </c>
      <c r="G11" s="521" t="s">
        <v>362</v>
      </c>
      <c r="H11" s="522" t="s">
        <v>179</v>
      </c>
      <c r="I11" s="1468" t="s">
        <v>362</v>
      </c>
      <c r="J11" s="1469" t="s">
        <v>179</v>
      </c>
      <c r="K11" s="521" t="s">
        <v>362</v>
      </c>
      <c r="L11" s="522" t="s">
        <v>179</v>
      </c>
      <c r="M11" s="1468" t="s">
        <v>362</v>
      </c>
      <c r="N11" s="1469" t="s">
        <v>179</v>
      </c>
      <c r="O11" s="521" t="s">
        <v>362</v>
      </c>
      <c r="P11" s="522" t="s">
        <v>179</v>
      </c>
      <c r="Q11" s="1468" t="s">
        <v>362</v>
      </c>
      <c r="R11" s="1469" t="s">
        <v>179</v>
      </c>
      <c r="S11" s="521" t="s">
        <v>362</v>
      </c>
      <c r="T11" s="522" t="s">
        <v>179</v>
      </c>
      <c r="U11" s="1468" t="s">
        <v>362</v>
      </c>
      <c r="V11" s="1469" t="s">
        <v>179</v>
      </c>
      <c r="W11" s="521" t="s">
        <v>362</v>
      </c>
      <c r="X11" s="522" t="s">
        <v>179</v>
      </c>
      <c r="Y11" s="1468" t="s">
        <v>362</v>
      </c>
      <c r="Z11" s="1469" t="s">
        <v>179</v>
      </c>
      <c r="AA11" s="521" t="s">
        <v>362</v>
      </c>
      <c r="AB11" s="522" t="s">
        <v>179</v>
      </c>
      <c r="AC11" s="1468" t="s">
        <v>362</v>
      </c>
      <c r="AD11" s="1469" t="s">
        <v>179</v>
      </c>
      <c r="AE11" s="521" t="s">
        <v>362</v>
      </c>
      <c r="AF11" s="522" t="s">
        <v>179</v>
      </c>
      <c r="AG11" s="521" t="s">
        <v>362</v>
      </c>
      <c r="AH11" s="522" t="s">
        <v>179</v>
      </c>
      <c r="AI11" s="1468" t="s">
        <v>362</v>
      </c>
      <c r="AJ11" s="1469" t="s">
        <v>179</v>
      </c>
      <c r="AK11" s="521" t="s">
        <v>362</v>
      </c>
      <c r="AL11" s="522" t="s">
        <v>179</v>
      </c>
      <c r="AM11" s="1468" t="s">
        <v>362</v>
      </c>
      <c r="AN11" s="1469" t="s">
        <v>179</v>
      </c>
      <c r="AO11" s="521" t="s">
        <v>362</v>
      </c>
      <c r="AP11" s="522" t="s">
        <v>179</v>
      </c>
      <c r="AQ11" s="1468" t="s">
        <v>362</v>
      </c>
      <c r="AR11" s="137" t="s">
        <v>179</v>
      </c>
      <c r="AS11" s="1470" t="s">
        <v>582</v>
      </c>
      <c r="AT11" s="522" t="s">
        <v>583</v>
      </c>
      <c r="AU11" s="2332"/>
      <c r="AV11" s="1861"/>
      <c r="AW11" s="1861"/>
      <c r="AX11" s="1863"/>
      <c r="CA11" s="1104" t="s">
        <v>582</v>
      </c>
      <c r="CB11" s="1104" t="s">
        <v>785</v>
      </c>
      <c r="CC11" s="1738"/>
      <c r="CD11" s="1738"/>
      <c r="CE11" s="1738"/>
      <c r="CF11" s="1738"/>
      <c r="CG11" s="559"/>
      <c r="CH11" s="559"/>
      <c r="CI11" s="559"/>
      <c r="CJ11" s="559"/>
      <c r="CK11" s="559"/>
      <c r="CL11" s="1104" t="s">
        <v>582</v>
      </c>
      <c r="CM11" s="1104" t="s">
        <v>785</v>
      </c>
      <c r="CN11" s="1738"/>
      <c r="CO11" s="1738"/>
      <c r="CP11" s="1738"/>
      <c r="CQ11" s="1755"/>
      <c r="CR11" s="559"/>
      <c r="CS11" s="559"/>
      <c r="CT11" s="559"/>
      <c r="CU11" s="559"/>
      <c r="CV11" s="559"/>
    </row>
    <row r="12" spans="1:100">
      <c r="A12" s="2080" t="s">
        <v>786</v>
      </c>
      <c r="B12" s="2347" t="s">
        <v>571</v>
      </c>
      <c r="C12" s="1471" t="s">
        <v>787</v>
      </c>
      <c r="D12" s="1472">
        <f>SUM(F12)</f>
        <v>0</v>
      </c>
      <c r="E12" s="1473"/>
      <c r="F12" s="1474">
        <f>+P12+R12+T12+V12+X12+Z12+AB12+AD12+AF12+AH12</f>
        <v>0</v>
      </c>
      <c r="G12" s="1475"/>
      <c r="H12" s="1476"/>
      <c r="I12" s="1475"/>
      <c r="J12" s="1476"/>
      <c r="K12" s="1475"/>
      <c r="L12" s="1476"/>
      <c r="M12" s="1475"/>
      <c r="N12" s="1476"/>
      <c r="O12" s="1475"/>
      <c r="P12" s="1314"/>
      <c r="Q12" s="1475"/>
      <c r="R12" s="1314"/>
      <c r="S12" s="1475"/>
      <c r="T12" s="1314"/>
      <c r="U12" s="1475"/>
      <c r="V12" s="1314"/>
      <c r="W12" s="1475"/>
      <c r="X12" s="1314"/>
      <c r="Y12" s="1475"/>
      <c r="Z12" s="1314"/>
      <c r="AA12" s="1475"/>
      <c r="AB12" s="1314"/>
      <c r="AC12" s="1475"/>
      <c r="AD12" s="1314"/>
      <c r="AE12" s="1475"/>
      <c r="AF12" s="1314"/>
      <c r="AG12" s="1475"/>
      <c r="AH12" s="1314"/>
      <c r="AI12" s="1475"/>
      <c r="AJ12" s="1476"/>
      <c r="AK12" s="1475"/>
      <c r="AL12" s="1476"/>
      <c r="AM12" s="1475"/>
      <c r="AN12" s="1476"/>
      <c r="AO12" s="1475"/>
      <c r="AP12" s="1476"/>
      <c r="AQ12" s="1475"/>
      <c r="AR12" s="1477"/>
      <c r="AS12" s="1478"/>
      <c r="AT12" s="1476"/>
      <c r="AU12" s="1408"/>
      <c r="AV12" s="1479"/>
      <c r="AW12" s="1479"/>
      <c r="AX12" s="1314"/>
      <c r="AY12" s="381" t="str">
        <f>CA12&amp;CB12&amp;CC12&amp;CD12&amp;CE12&amp;CF12</f>
        <v/>
      </c>
      <c r="CA12" s="142" t="str">
        <f>IF(AND($F12&gt;0,OR($AS12=""))," * No olvide digitar la variable Trans Masculino. Digite Cero si no tiene.",IF($AS12&gt;$F12," * La variable Trans Masculino no debe ser mayor al Total Mujeres.",""))</f>
        <v/>
      </c>
      <c r="CB12" s="1480"/>
      <c r="CC12" s="142" t="str">
        <f>IF(AND($D12&gt;0,OR($AU12=""))," * No olvide digitar la variable Pueblos Originarios. Digite Cero si no tiene.",IF($AU12&gt;D12," * La variable Pueblos Originarios no puede ser Mayor al Total Ambos Sexos.",""))</f>
        <v/>
      </c>
      <c r="CD12" s="142" t="str">
        <f>IF(AND($D12&gt;0,OR($AV12=""))," * No olvide digitar la variable Migrantes. Digite Cero si no tiene.",IF($AV12&gt;$D12," * La variable Migrantes no puede ser Mayor al Total Ambos Sexos.",""))</f>
        <v/>
      </c>
      <c r="CE12" s="142" t="str">
        <f>IF(AND($D12&gt;0,OR($AW12=""))," * No olvide digitar la variable Niños, Niñas, Adolescentes y Jóvenes SENAME. Digite Cero si no tiene.",IF($AW12&gt;$D12," * La variable Niños, Niñas, Adolescentes y Jóvenes SENAME no puede ser Mayor al Total Ambos Sexos.",""))</f>
        <v/>
      </c>
      <c r="CF12" s="142" t="str">
        <f>IF(AND($D12&gt;0,OR($AX12=""))," * No olvide digitar la variable Niños, Niñas, Adolescentes y Jóvenes Mejor Niñez. Digite Cero si no tiene.",IF($AX12&gt;$D12," * La variable Niños, Niñas, Adolescentes y Jóvenes Mejor Niñez no puede ser Mayor al Total Ambos Sexos.",""))</f>
        <v/>
      </c>
      <c r="CL12" s="34">
        <f>IF(AND($F12&gt;0,OR($AS12="")),1,IF($AS12&gt;$F12,1,0))</f>
        <v>0</v>
      </c>
      <c r="CM12" s="1480"/>
      <c r="CN12" s="34">
        <f>IF(AND($D12&gt;0,OR($AU12="")),1,IF($AU12&gt;O12,1,0))</f>
        <v>0</v>
      </c>
      <c r="CO12" s="34">
        <f>IF(AND($D12&gt;0,OR($AV12="")),1,IF($AV12&gt;$D12,1,0))</f>
        <v>0</v>
      </c>
      <c r="CP12" s="34">
        <f>IF(AND($D12&gt;0,OR($AW12="")),1,IF($AW12&gt;$D12,1,0))</f>
        <v>0</v>
      </c>
      <c r="CQ12" s="34">
        <f>IF(AND($D12&gt;0,OR($AX12="")),1,IF($AX12&gt;$D12,1,0))</f>
        <v>0</v>
      </c>
      <c r="CR12" s="1481"/>
    </row>
    <row r="13" spans="1:100" ht="15" customHeight="1">
      <c r="A13" s="2333"/>
      <c r="B13" s="2348"/>
      <c r="C13" s="1482" t="s">
        <v>788</v>
      </c>
      <c r="D13" s="1483">
        <f>SUM(F13)</f>
        <v>0</v>
      </c>
      <c r="E13" s="1484"/>
      <c r="F13" s="1485">
        <f>+P13+R13+T13+V13+X13+Z13+AB13+AD13+AF13+AH13</f>
        <v>0</v>
      </c>
      <c r="G13" s="1486"/>
      <c r="H13" s="1487"/>
      <c r="I13" s="1486"/>
      <c r="J13" s="1487"/>
      <c r="K13" s="1486"/>
      <c r="L13" s="1487"/>
      <c r="M13" s="1486"/>
      <c r="N13" s="1487"/>
      <c r="O13" s="1486"/>
      <c r="P13" s="1424"/>
      <c r="Q13" s="1486"/>
      <c r="R13" s="1424"/>
      <c r="S13" s="1486"/>
      <c r="T13" s="1424"/>
      <c r="U13" s="1486"/>
      <c r="V13" s="1424"/>
      <c r="W13" s="1486"/>
      <c r="X13" s="1424"/>
      <c r="Y13" s="1486"/>
      <c r="Z13" s="1424"/>
      <c r="AA13" s="1486"/>
      <c r="AB13" s="1424"/>
      <c r="AC13" s="1486"/>
      <c r="AD13" s="1424"/>
      <c r="AE13" s="1486"/>
      <c r="AF13" s="1424"/>
      <c r="AG13" s="1486"/>
      <c r="AH13" s="1424"/>
      <c r="AI13" s="1486"/>
      <c r="AJ13" s="1487"/>
      <c r="AK13" s="1486"/>
      <c r="AL13" s="1487"/>
      <c r="AM13" s="1486"/>
      <c r="AN13" s="1487"/>
      <c r="AO13" s="1486"/>
      <c r="AP13" s="1487"/>
      <c r="AQ13" s="1486"/>
      <c r="AR13" s="1488"/>
      <c r="AS13" s="1489"/>
      <c r="AT13" s="1487"/>
      <c r="AU13" s="1423"/>
      <c r="AV13" s="1490"/>
      <c r="AW13" s="1490"/>
      <c r="AX13" s="1424"/>
      <c r="AY13" s="381" t="str">
        <f t="shared" ref="AY13:AY17" si="0">CA13&amp;CB13&amp;CC13&amp;CD13&amp;CE13&amp;CF13</f>
        <v/>
      </c>
      <c r="CA13" s="142" t="str">
        <f t="shared" ref="CA13:CA17" si="1">IF(AND($F13&gt;0,OR($AS13=""))," * No olvide digitar la variable Trans Masculino. Digite Cero si no tiene.",IF($AS13&gt;$F13," * La variable Trans Masculino no debe ser mayor al Total Mujeres.",""))</f>
        <v/>
      </c>
      <c r="CB13" s="1480"/>
      <c r="CC13" s="142" t="str">
        <f t="shared" ref="CC13:CC17" si="2">IF(AND($D13&gt;0,OR($AU13=""))," * No olvide digitar la variable Pueblos Originarios. Digite Cero si no tiene.",IF($AU13&gt;D13," * La variable Pueblos Originarios no puede ser Mayor al Total Ambos Sexos.",""))</f>
        <v/>
      </c>
      <c r="CD13" s="142" t="str">
        <f t="shared" ref="CD13:CD17" si="3">IF(AND($D13&gt;0,OR($AV13=""))," * No olvide digitar la variable Migrantes. Digite Cero si no tiene.",IF($AV13&gt;$D13," * La variable Migrantes no puede ser Mayor al Total Ambos Sexos.",""))</f>
        <v/>
      </c>
      <c r="CE13" s="142" t="str">
        <f t="shared" ref="CE13:CE17" si="4">IF(AND($D13&gt;0,OR($AW13=""))," * No olvide digitar la variable Niños, Niñas, Adolescentes y Jóvenes SENAME. Digite Cero si no tiene.",IF($AW13&gt;$D13," * La variable Niños, Niñas, Adolescentes y Jóvenes SENAME no puede ser Mayor al Total Ambos Sexos.",""))</f>
        <v/>
      </c>
      <c r="CF13" s="142" t="str">
        <f t="shared" ref="CF13:CF17" si="5">IF(AND($D13&gt;0,OR($AX13=""))," * No olvide digitar la variable Niños, Niñas, Adolescentes y Jóvenes Mejor Niñez. Digite Cero si no tiene.",IF($AX13&gt;$D13," * La variable Niños, Niñas, Adolescentes y Jóvenes Mejor Niñez no puede ser Mayor al Total Ambos Sexos.",""))</f>
        <v/>
      </c>
      <c r="CL13" s="34">
        <f t="shared" ref="CL13:CL17" si="6">IF(AND($F13&gt;0,OR($AS13="")),1,IF($AS13&gt;$F13,1,0))</f>
        <v>0</v>
      </c>
      <c r="CM13" s="1480"/>
      <c r="CN13" s="34">
        <f t="shared" ref="CN13:CN17" si="7">IF(AND($D13&gt;0,OR($AU13="")),1,IF($AU13&gt;O13,1,0))</f>
        <v>0</v>
      </c>
      <c r="CO13" s="34">
        <f t="shared" ref="CO13:CO17" si="8">IF(AND($D13&gt;0,OR($AV13="")),1,IF($AV13&gt;$D13,1,0))</f>
        <v>0</v>
      </c>
      <c r="CP13" s="34">
        <f t="shared" ref="CP13:CP17" si="9">IF(AND($D13&gt;0,OR($AW13="")),1,IF($AW13&gt;$D13,1,0))</f>
        <v>0</v>
      </c>
      <c r="CQ13" s="34">
        <f t="shared" ref="CQ13:CQ17" si="10">IF(AND($D13&gt;0,OR($AX13="")),1,IF($AX13&gt;$D13,1,0))</f>
        <v>0</v>
      </c>
      <c r="CR13" s="1481"/>
    </row>
    <row r="14" spans="1:100" ht="15" customHeight="1">
      <c r="A14" s="2333"/>
      <c r="B14" s="2349" t="s">
        <v>789</v>
      </c>
      <c r="C14" s="1491" t="s">
        <v>790</v>
      </c>
      <c r="D14" s="1472">
        <f>SUM(E14:F14)</f>
        <v>0</v>
      </c>
      <c r="E14" s="1492">
        <f>+G14+I14+K14+M14+O14+Q14+S14+U14+W14+Y14+AA14+AC14+AE14+AG14+AI14+AK14+AM14+AO14+AQ14</f>
        <v>0</v>
      </c>
      <c r="F14" s="1493">
        <f>+H14+J14+L14+N14+P14+R14+T14+V14+X14+Z14+AB14+AD14+AF14+AH14+AJ14+AL14+AN14+AP14+AR14</f>
        <v>0</v>
      </c>
      <c r="G14" s="1339"/>
      <c r="H14" s="1340"/>
      <c r="I14" s="1339"/>
      <c r="J14" s="1340"/>
      <c r="K14" s="1339"/>
      <c r="L14" s="1340"/>
      <c r="M14" s="1339"/>
      <c r="N14" s="1340"/>
      <c r="O14" s="1339"/>
      <c r="P14" s="1340"/>
      <c r="Q14" s="1339"/>
      <c r="R14" s="1340"/>
      <c r="S14" s="1339"/>
      <c r="T14" s="1340"/>
      <c r="U14" s="1339"/>
      <c r="V14" s="1340"/>
      <c r="W14" s="1339"/>
      <c r="X14" s="1340"/>
      <c r="Y14" s="1339"/>
      <c r="Z14" s="1340"/>
      <c r="AA14" s="1339"/>
      <c r="AB14" s="1340"/>
      <c r="AC14" s="1339"/>
      <c r="AD14" s="1340"/>
      <c r="AE14" s="1339"/>
      <c r="AF14" s="1340"/>
      <c r="AG14" s="1339"/>
      <c r="AH14" s="1340"/>
      <c r="AI14" s="1339"/>
      <c r="AJ14" s="1340"/>
      <c r="AK14" s="1339"/>
      <c r="AL14" s="1340"/>
      <c r="AM14" s="1339"/>
      <c r="AN14" s="1340"/>
      <c r="AO14" s="1339"/>
      <c r="AP14" s="1340"/>
      <c r="AQ14" s="1339"/>
      <c r="AR14" s="1415"/>
      <c r="AS14" s="1494"/>
      <c r="AT14" s="1340"/>
      <c r="AU14" s="1414"/>
      <c r="AV14" s="1495"/>
      <c r="AW14" s="1495"/>
      <c r="AX14" s="1340"/>
      <c r="AY14" s="381" t="str">
        <f t="shared" si="0"/>
        <v/>
      </c>
      <c r="CA14" s="142" t="str">
        <f t="shared" si="1"/>
        <v/>
      </c>
      <c r="CB14" s="142" t="str">
        <f>IF(AND($E14&gt;0,OR($AT14=""))," * No olvide digitar la variable Trans Femenino. Digite Cero si no tiene.",IF($AT14&gt;$E14," * La variable Trans Femenino no debe ser mayor al Total Hombres.",""))</f>
        <v/>
      </c>
      <c r="CC14" s="142" t="str">
        <f t="shared" si="2"/>
        <v/>
      </c>
      <c r="CD14" s="142" t="str">
        <f t="shared" si="3"/>
        <v/>
      </c>
      <c r="CE14" s="142" t="str">
        <f t="shared" si="4"/>
        <v/>
      </c>
      <c r="CF14" s="142" t="str">
        <f t="shared" si="5"/>
        <v/>
      </c>
      <c r="CL14" s="34">
        <f t="shared" si="6"/>
        <v>0</v>
      </c>
      <c r="CM14" s="34">
        <f>IF(AND($E14&gt;0,OR($AT14="")),1,IF($AT14&gt;$E14,1,0))</f>
        <v>0</v>
      </c>
      <c r="CN14" s="34">
        <f t="shared" si="7"/>
        <v>0</v>
      </c>
      <c r="CO14" s="34">
        <f t="shared" si="8"/>
        <v>0</v>
      </c>
      <c r="CP14" s="34">
        <f t="shared" si="9"/>
        <v>0</v>
      </c>
      <c r="CQ14" s="34">
        <f t="shared" si="10"/>
        <v>0</v>
      </c>
      <c r="CR14" s="1481"/>
    </row>
    <row r="15" spans="1:100" ht="15" customHeight="1">
      <c r="A15" s="1724"/>
      <c r="B15" s="2348"/>
      <c r="C15" s="1482" t="s">
        <v>791</v>
      </c>
      <c r="D15" s="1496">
        <f>SUM(E15:F15)</f>
        <v>0</v>
      </c>
      <c r="E15" s="1497">
        <f>+G15+I15+K15+M15+O15+Q15+S15+U15+W15+Y15+AA15+AC15+AE15+AG15+AI15+AK15+AM15+AO15+AQ15</f>
        <v>0</v>
      </c>
      <c r="F15" s="1485">
        <f>+H15+J15+L15+N15+P15+R15+T15+V15+X15+Z15+AB15+AD15+AF15+AH15+AJ15+AL15+AN15+AP15+AR15</f>
        <v>0</v>
      </c>
      <c r="G15" s="1438"/>
      <c r="H15" s="1424"/>
      <c r="I15" s="1438"/>
      <c r="J15" s="1424"/>
      <c r="K15" s="1438"/>
      <c r="L15" s="1424"/>
      <c r="M15" s="1438"/>
      <c r="N15" s="1424"/>
      <c r="O15" s="1438"/>
      <c r="P15" s="1424"/>
      <c r="Q15" s="1438"/>
      <c r="R15" s="1424"/>
      <c r="S15" s="1438"/>
      <c r="T15" s="1424"/>
      <c r="U15" s="1438"/>
      <c r="V15" s="1424"/>
      <c r="W15" s="1438"/>
      <c r="X15" s="1424"/>
      <c r="Y15" s="1438"/>
      <c r="Z15" s="1424"/>
      <c r="AA15" s="1438"/>
      <c r="AB15" s="1424"/>
      <c r="AC15" s="1438"/>
      <c r="AD15" s="1424"/>
      <c r="AE15" s="1438"/>
      <c r="AF15" s="1424"/>
      <c r="AG15" s="1438"/>
      <c r="AH15" s="1424"/>
      <c r="AI15" s="1438"/>
      <c r="AJ15" s="1424"/>
      <c r="AK15" s="1438"/>
      <c r="AL15" s="1424"/>
      <c r="AM15" s="1438"/>
      <c r="AN15" s="1424"/>
      <c r="AO15" s="1438"/>
      <c r="AP15" s="1424"/>
      <c r="AQ15" s="1438"/>
      <c r="AR15" s="1498"/>
      <c r="AS15" s="1489"/>
      <c r="AT15" s="1424"/>
      <c r="AU15" s="1423"/>
      <c r="AV15" s="1490"/>
      <c r="AW15" s="1490"/>
      <c r="AX15" s="1424"/>
      <c r="AY15" s="381" t="str">
        <f t="shared" si="0"/>
        <v/>
      </c>
      <c r="CA15" s="142" t="str">
        <f t="shared" si="1"/>
        <v/>
      </c>
      <c r="CB15" s="142" t="str">
        <f>IF(AND($E15&gt;0,OR($AT15=""))," * No olvide digitar la variable Trans Femenino. Digite Cero si no tiene.",IF($AT15&gt;$E15," * La variable Trans Femenino no debe ser mayor al Total Hombres.",""))</f>
        <v/>
      </c>
      <c r="CC15" s="142" t="str">
        <f t="shared" si="2"/>
        <v/>
      </c>
      <c r="CD15" s="142" t="str">
        <f t="shared" si="3"/>
        <v/>
      </c>
      <c r="CE15" s="142" t="str">
        <f t="shared" si="4"/>
        <v/>
      </c>
      <c r="CF15" s="142" t="str">
        <f t="shared" si="5"/>
        <v/>
      </c>
      <c r="CL15" s="34">
        <f t="shared" si="6"/>
        <v>0</v>
      </c>
      <c r="CM15" s="34">
        <f>IF(AND($E15&gt;0,OR($AT15="")),1,IF($AT15&gt;$E15,1,0))</f>
        <v>0</v>
      </c>
      <c r="CN15" s="34">
        <f t="shared" si="7"/>
        <v>0</v>
      </c>
      <c r="CO15" s="34">
        <f t="shared" si="8"/>
        <v>0</v>
      </c>
      <c r="CP15" s="34">
        <f t="shared" si="9"/>
        <v>0</v>
      </c>
      <c r="CQ15" s="34">
        <f t="shared" si="10"/>
        <v>0</v>
      </c>
      <c r="CR15" s="1481"/>
    </row>
    <row r="16" spans="1:100">
      <c r="A16" s="2080" t="s">
        <v>792</v>
      </c>
      <c r="B16" s="1499" t="s">
        <v>571</v>
      </c>
      <c r="C16" s="1500" t="s">
        <v>793</v>
      </c>
      <c r="D16" s="1501"/>
      <c r="E16" s="1473"/>
      <c r="F16" s="1474"/>
      <c r="G16" s="1475"/>
      <c r="H16" s="1476"/>
      <c r="I16" s="1475"/>
      <c r="J16" s="1476"/>
      <c r="K16" s="1475"/>
      <c r="L16" s="1476"/>
      <c r="M16" s="1475"/>
      <c r="N16" s="1476"/>
      <c r="O16" s="1475"/>
      <c r="P16" s="1314"/>
      <c r="Q16" s="1475"/>
      <c r="R16" s="1314"/>
      <c r="S16" s="1475"/>
      <c r="T16" s="1314"/>
      <c r="U16" s="1475"/>
      <c r="V16" s="1314"/>
      <c r="W16" s="1475"/>
      <c r="X16" s="1314"/>
      <c r="Y16" s="1475"/>
      <c r="Z16" s="1314"/>
      <c r="AA16" s="1475"/>
      <c r="AB16" s="1314"/>
      <c r="AC16" s="1475"/>
      <c r="AD16" s="1314"/>
      <c r="AE16" s="1475"/>
      <c r="AF16" s="1314"/>
      <c r="AG16" s="1475"/>
      <c r="AH16" s="1314"/>
      <c r="AI16" s="1475"/>
      <c r="AJ16" s="1476"/>
      <c r="AK16" s="1475"/>
      <c r="AL16" s="1476"/>
      <c r="AM16" s="1475"/>
      <c r="AN16" s="1476"/>
      <c r="AO16" s="1475"/>
      <c r="AP16" s="1476"/>
      <c r="AQ16" s="1475"/>
      <c r="AR16" s="1477"/>
      <c r="AS16" s="1478"/>
      <c r="AT16" s="1476"/>
      <c r="AU16" s="1408"/>
      <c r="AV16" s="1479"/>
      <c r="AW16" s="1479"/>
      <c r="AX16" s="1314"/>
      <c r="AY16" s="381" t="str">
        <f t="shared" si="0"/>
        <v/>
      </c>
      <c r="CA16" s="142" t="str">
        <f t="shared" si="1"/>
        <v/>
      </c>
      <c r="CB16" s="1480"/>
      <c r="CC16" s="142" t="str">
        <f t="shared" si="2"/>
        <v/>
      </c>
      <c r="CD16" s="142" t="str">
        <f t="shared" si="3"/>
        <v/>
      </c>
      <c r="CE16" s="142" t="str">
        <f t="shared" si="4"/>
        <v/>
      </c>
      <c r="CF16" s="142" t="str">
        <f t="shared" si="5"/>
        <v/>
      </c>
      <c r="CL16" s="34">
        <f t="shared" si="6"/>
        <v>0</v>
      </c>
      <c r="CM16" s="1480"/>
      <c r="CN16" s="34">
        <f t="shared" si="7"/>
        <v>0</v>
      </c>
      <c r="CO16" s="34">
        <f t="shared" si="8"/>
        <v>0</v>
      </c>
      <c r="CP16" s="34">
        <f t="shared" si="9"/>
        <v>0</v>
      </c>
      <c r="CQ16" s="34">
        <f t="shared" si="10"/>
        <v>0</v>
      </c>
      <c r="CR16" s="1481"/>
    </row>
    <row r="17" spans="1:105">
      <c r="A17" s="1724"/>
      <c r="B17" s="1502" t="s">
        <v>789</v>
      </c>
      <c r="C17" s="1503" t="s">
        <v>793</v>
      </c>
      <c r="D17" s="1496">
        <f>SUM(E17:F17)</f>
        <v>0</v>
      </c>
      <c r="E17" s="1497">
        <f>+G17+I17+K17+M17+O17+Q17+S17+U17+W17+Y17+AA17+AC17+AE17+AG17+AI17+AK17+AM17+AO17+AQ17</f>
        <v>0</v>
      </c>
      <c r="F17" s="1485">
        <f>+H17+J17+L17+N17+P17+R17+T17+V17+X17+Z17+AB17+AD17+AF17+AH17+AJ17+AL17+AN17+AP17+AR17</f>
        <v>0</v>
      </c>
      <c r="G17" s="1438"/>
      <c r="H17" s="1424"/>
      <c r="I17" s="1438"/>
      <c r="J17" s="1424"/>
      <c r="K17" s="1438"/>
      <c r="L17" s="1424"/>
      <c r="M17" s="1438"/>
      <c r="N17" s="1424"/>
      <c r="O17" s="1438"/>
      <c r="P17" s="1424"/>
      <c r="Q17" s="1438"/>
      <c r="R17" s="1424"/>
      <c r="S17" s="1438"/>
      <c r="T17" s="1424"/>
      <c r="U17" s="1438"/>
      <c r="V17" s="1424"/>
      <c r="W17" s="1438"/>
      <c r="X17" s="1424"/>
      <c r="Y17" s="1438"/>
      <c r="Z17" s="1424"/>
      <c r="AA17" s="1438"/>
      <c r="AB17" s="1424"/>
      <c r="AC17" s="1438"/>
      <c r="AD17" s="1424"/>
      <c r="AE17" s="1438"/>
      <c r="AF17" s="1424"/>
      <c r="AG17" s="1438"/>
      <c r="AH17" s="1424"/>
      <c r="AI17" s="1438"/>
      <c r="AJ17" s="1424"/>
      <c r="AK17" s="1438"/>
      <c r="AL17" s="1424"/>
      <c r="AM17" s="1438"/>
      <c r="AN17" s="1424"/>
      <c r="AO17" s="1438"/>
      <c r="AP17" s="1424"/>
      <c r="AQ17" s="1438"/>
      <c r="AR17" s="1498"/>
      <c r="AS17" s="1489"/>
      <c r="AT17" s="1424"/>
      <c r="AU17" s="1423"/>
      <c r="AV17" s="1490"/>
      <c r="AW17" s="1490"/>
      <c r="AX17" s="1424"/>
      <c r="AY17" s="381" t="str">
        <f t="shared" si="0"/>
        <v/>
      </c>
      <c r="CA17" s="142" t="str">
        <f t="shared" si="1"/>
        <v/>
      </c>
      <c r="CB17" s="142" t="str">
        <f>IF(AND($E17&gt;0,OR($AT17=""))," * No olvide digitar la variable Trans Femenino. Digite Cero si no tiene.",IF($AT17&gt;$E17," * La variable Trans Femenino no debe ser mayor al Total Hombres.",""))</f>
        <v/>
      </c>
      <c r="CC17" s="142" t="str">
        <f t="shared" si="2"/>
        <v/>
      </c>
      <c r="CD17" s="142" t="str">
        <f t="shared" si="3"/>
        <v/>
      </c>
      <c r="CE17" s="142" t="str">
        <f t="shared" si="4"/>
        <v/>
      </c>
      <c r="CF17" s="142" t="str">
        <f t="shared" si="5"/>
        <v/>
      </c>
      <c r="CL17" s="34">
        <f t="shared" si="6"/>
        <v>0</v>
      </c>
      <c r="CM17" s="34">
        <f>IF(AND($E17&gt;0,OR($AT17="")),1,IF($AT17&gt;$E17,1,0))</f>
        <v>0</v>
      </c>
      <c r="CN17" s="34">
        <f t="shared" si="7"/>
        <v>0</v>
      </c>
      <c r="CO17" s="34">
        <f t="shared" si="8"/>
        <v>0</v>
      </c>
      <c r="CP17" s="34">
        <f t="shared" si="9"/>
        <v>0</v>
      </c>
      <c r="CQ17" s="34">
        <f t="shared" si="10"/>
        <v>0</v>
      </c>
      <c r="CR17" s="1481"/>
    </row>
    <row r="18" spans="1:105" ht="17.149999999999999" customHeight="1">
      <c r="A18" s="2334" t="s">
        <v>794</v>
      </c>
      <c r="B18" s="2334"/>
      <c r="C18" s="2334"/>
      <c r="D18" s="2334"/>
      <c r="E18" s="2334"/>
      <c r="F18" s="2335"/>
      <c r="G18" s="1461"/>
      <c r="H18" s="1461"/>
      <c r="I18" s="1461"/>
      <c r="J18" s="1461"/>
      <c r="K18" s="1461"/>
      <c r="L18" s="1461"/>
      <c r="Q18" s="3"/>
    </row>
    <row r="19" spans="1:105" ht="15" customHeight="1">
      <c r="A19" s="2336" t="s">
        <v>779</v>
      </c>
      <c r="B19" s="2337" t="s">
        <v>5</v>
      </c>
      <c r="C19" s="2338"/>
      <c r="D19" s="2339"/>
      <c r="E19" s="2343" t="s">
        <v>354</v>
      </c>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2344"/>
      <c r="AB19" s="2344"/>
      <c r="AC19" s="2344"/>
      <c r="AD19" s="2344"/>
      <c r="AE19" s="2344"/>
      <c r="AF19" s="2345"/>
      <c r="AG19" s="2076" t="s">
        <v>581</v>
      </c>
      <c r="AH19" s="2080"/>
      <c r="AI19" s="2330" t="s">
        <v>7</v>
      </c>
      <c r="AJ19" s="2080" t="s">
        <v>58</v>
      </c>
      <c r="CB19" s="2049"/>
      <c r="CC19" s="2049"/>
      <c r="CD19" s="2049"/>
      <c r="CE19" s="2049"/>
      <c r="CF19" s="2049"/>
      <c r="CG19" s="2049"/>
      <c r="CH19" s="2049"/>
      <c r="CM19" s="2049"/>
      <c r="CN19" s="2049"/>
      <c r="CO19" s="2049"/>
      <c r="CP19" s="2049"/>
      <c r="CQ19" s="2049"/>
      <c r="CR19" s="2049"/>
      <c r="CS19" s="2049"/>
      <c r="CT19" s="2049"/>
      <c r="CU19" s="2049"/>
    </row>
    <row r="20" spans="1:105" ht="15" customHeight="1">
      <c r="A20" s="2336"/>
      <c r="B20" s="2340"/>
      <c r="C20" s="2341"/>
      <c r="D20" s="2342"/>
      <c r="E20" s="2183" t="s">
        <v>13</v>
      </c>
      <c r="F20" s="2061"/>
      <c r="G20" s="2183" t="s">
        <v>14</v>
      </c>
      <c r="H20" s="2061"/>
      <c r="I20" s="2183" t="s">
        <v>15</v>
      </c>
      <c r="J20" s="2061"/>
      <c r="K20" s="2328" t="s">
        <v>16</v>
      </c>
      <c r="L20" s="2329"/>
      <c r="M20" s="2328" t="s">
        <v>17</v>
      </c>
      <c r="N20" s="2329"/>
      <c r="O20" s="2328" t="s">
        <v>18</v>
      </c>
      <c r="P20" s="2329"/>
      <c r="Q20" s="2328" t="s">
        <v>19</v>
      </c>
      <c r="R20" s="2329"/>
      <c r="S20" s="2328" t="s">
        <v>20</v>
      </c>
      <c r="T20" s="2329"/>
      <c r="U20" s="2328" t="s">
        <v>21</v>
      </c>
      <c r="V20" s="2329"/>
      <c r="W20" s="2328" t="s">
        <v>22</v>
      </c>
      <c r="X20" s="2329"/>
      <c r="Y20" s="2328" t="s">
        <v>23</v>
      </c>
      <c r="Z20" s="2329"/>
      <c r="AA20" s="2183" t="s">
        <v>358</v>
      </c>
      <c r="AB20" s="2217"/>
      <c r="AC20" s="2183" t="s">
        <v>359</v>
      </c>
      <c r="AD20" s="2217"/>
      <c r="AE20" s="2183" t="s">
        <v>360</v>
      </c>
      <c r="AF20" s="2218"/>
      <c r="AG20" s="2078"/>
      <c r="AH20" s="1724"/>
      <c r="AI20" s="2331"/>
      <c r="AJ20" s="2333"/>
      <c r="CB20" s="2049"/>
      <c r="CC20" s="2049"/>
      <c r="CD20" s="2049"/>
      <c r="CE20" s="2049"/>
      <c r="CF20" s="2049"/>
      <c r="CG20" s="2049"/>
      <c r="CH20" s="2049"/>
      <c r="CM20" s="2049"/>
      <c r="CN20" s="2049"/>
      <c r="CO20" s="2049"/>
      <c r="CP20" s="2049"/>
      <c r="CQ20" s="2049"/>
      <c r="CR20" s="2049"/>
      <c r="CS20" s="2049"/>
      <c r="CT20" s="2049"/>
      <c r="CU20" s="2049"/>
      <c r="DA20" s="5" t="s">
        <v>795</v>
      </c>
    </row>
    <row r="21" spans="1:105" ht="15" customHeight="1">
      <c r="A21" s="2336"/>
      <c r="B21" s="1113" t="s">
        <v>178</v>
      </c>
      <c r="C21" s="1466" t="s">
        <v>42</v>
      </c>
      <c r="D21" s="1467" t="s">
        <v>179</v>
      </c>
      <c r="E21" s="521" t="s">
        <v>362</v>
      </c>
      <c r="F21" s="522" t="s">
        <v>179</v>
      </c>
      <c r="G21" s="521" t="s">
        <v>362</v>
      </c>
      <c r="H21" s="522" t="s">
        <v>179</v>
      </c>
      <c r="I21" s="521" t="s">
        <v>362</v>
      </c>
      <c r="J21" s="522" t="s">
        <v>179</v>
      </c>
      <c r="K21" s="521" t="s">
        <v>362</v>
      </c>
      <c r="L21" s="522" t="s">
        <v>179</v>
      </c>
      <c r="M21" s="521" t="s">
        <v>362</v>
      </c>
      <c r="N21" s="522" t="s">
        <v>179</v>
      </c>
      <c r="O21" s="521" t="s">
        <v>362</v>
      </c>
      <c r="P21" s="522" t="s">
        <v>179</v>
      </c>
      <c r="Q21" s="521" t="s">
        <v>362</v>
      </c>
      <c r="R21" s="522" t="s">
        <v>179</v>
      </c>
      <c r="S21" s="521" t="s">
        <v>362</v>
      </c>
      <c r="T21" s="522" t="s">
        <v>179</v>
      </c>
      <c r="U21" s="521" t="s">
        <v>362</v>
      </c>
      <c r="V21" s="522" t="s">
        <v>179</v>
      </c>
      <c r="W21" s="521" t="s">
        <v>362</v>
      </c>
      <c r="X21" s="522" t="s">
        <v>179</v>
      </c>
      <c r="Y21" s="521" t="s">
        <v>362</v>
      </c>
      <c r="Z21" s="522" t="s">
        <v>179</v>
      </c>
      <c r="AA21" s="521" t="s">
        <v>362</v>
      </c>
      <c r="AB21" s="522" t="s">
        <v>179</v>
      </c>
      <c r="AC21" s="521" t="s">
        <v>362</v>
      </c>
      <c r="AD21" s="522" t="s">
        <v>179</v>
      </c>
      <c r="AE21" s="521" t="s">
        <v>362</v>
      </c>
      <c r="AF21" s="137" t="s">
        <v>179</v>
      </c>
      <c r="AG21" s="1470" t="s">
        <v>582</v>
      </c>
      <c r="AH21" s="522" t="s">
        <v>583</v>
      </c>
      <c r="AI21" s="2332"/>
      <c r="AJ21" s="1724"/>
      <c r="CB21" s="559"/>
      <c r="CC21" s="559"/>
      <c r="CD21" s="2049"/>
      <c r="CE21" s="2049"/>
      <c r="CF21" s="559"/>
      <c r="CG21" s="559"/>
      <c r="CH21" s="559"/>
      <c r="CM21" s="559"/>
      <c r="CN21" s="559"/>
      <c r="CO21" s="559"/>
      <c r="CP21" s="559"/>
      <c r="CQ21" s="2049"/>
      <c r="CR21" s="2049"/>
      <c r="CS21" s="559"/>
      <c r="CT21" s="559"/>
      <c r="CU21" s="559"/>
    </row>
    <row r="22" spans="1:105">
      <c r="A22" s="1504" t="s">
        <v>796</v>
      </c>
      <c r="B22" s="1505">
        <f>SUM(C22:D22)</f>
        <v>0</v>
      </c>
      <c r="C22" s="1506">
        <f>+E22+G22+I22+K22+M22+O22+Q22+S22+U22+W22+Y22+AA22+AC22+AE22</f>
        <v>0</v>
      </c>
      <c r="D22" s="1507">
        <f>+F22+H22+J22+L22+N22+P22+R22+T22+V22+X22+Z22+AB22+AD22+AF22</f>
        <v>0</v>
      </c>
      <c r="E22" s="1303"/>
      <c r="F22" s="1508"/>
      <c r="G22" s="1303"/>
      <c r="H22" s="1508"/>
      <c r="I22" s="1303"/>
      <c r="J22" s="1508"/>
      <c r="K22" s="1303"/>
      <c r="L22" s="1508"/>
      <c r="M22" s="1303"/>
      <c r="N22" s="1508"/>
      <c r="O22" s="1303"/>
      <c r="P22" s="1508"/>
      <c r="Q22" s="1303"/>
      <c r="R22" s="1508"/>
      <c r="S22" s="1303"/>
      <c r="T22" s="1508"/>
      <c r="U22" s="1303"/>
      <c r="V22" s="1508"/>
      <c r="W22" s="1303"/>
      <c r="X22" s="1508"/>
      <c r="Y22" s="1303"/>
      <c r="Z22" s="1508"/>
      <c r="AA22" s="1303"/>
      <c r="AB22" s="1508"/>
      <c r="AC22" s="1303"/>
      <c r="AD22" s="1508"/>
      <c r="AE22" s="1303"/>
      <c r="AF22" s="1509"/>
      <c r="AG22" s="1510"/>
      <c r="AH22" s="1304"/>
      <c r="AI22" s="1508"/>
      <c r="AJ22" s="1304"/>
      <c r="AK22" s="381" t="str">
        <f>CB22&amp;CC22&amp;CD22&amp;CE22&amp;CF22&amp;CA22</f>
        <v/>
      </c>
      <c r="CA22" s="142" t="str">
        <f>IF(AND($D22&gt;0,OR($AG22=""))," * No olvide digitar la variable Trans Masculino. Digite Cero si no tiene.",IF($AG22&gt;$D22," * La variable Trans Masculino no debe ser mayor al Total Mujeres.",""))</f>
        <v/>
      </c>
      <c r="CB22" s="142" t="str">
        <f>IF(AND($C22&gt;0,OR($AH22=""))," * No olvide digitar la variable Trans Femenino. Digite Cero si no tiene.",IF($AH22&gt;$C22," * La variable Trans Femenino no debe ser mayor al Total Hombres.",""))</f>
        <v/>
      </c>
      <c r="CC22" s="142" t="str">
        <f>IF(AND($B22&gt;0,OR($AI22=""))," * No olvide digitar la variable Pueblos Originarios. Digite Cero si no tiene.",IF($AI22&gt;$B22," * La variable Pueblos Originarios no puede ser Mayor al Total Ambos Sexos.",""))</f>
        <v/>
      </c>
      <c r="CD22" s="142" t="str">
        <f>IF(AND($B22&gt;0,OR($AJ22=""))," * No olvide digitar la variable Migrantes. Digite Cero si no tiene.",IF($AJ22&gt;$B22," * La variable Migrantes no puede ser Mayor al Total Ambos Sexos.",""))</f>
        <v/>
      </c>
      <c r="CE22" s="7"/>
      <c r="CJ22" s="7"/>
      <c r="CL22" s="34">
        <f>IF(AND($F22&gt;0,OR($AG22="")),1,IF($AG22&gt;$F22,1,0))</f>
        <v>0</v>
      </c>
      <c r="CM22" s="34">
        <f>IF(AND($E22&gt;0,OR($AH22="")),1,IF($AH22&gt;$E22,1,0))</f>
        <v>0</v>
      </c>
      <c r="CN22" s="34">
        <f>IF(AND($B22&gt;0,OR($AI22="")),1,IF($AI22&gt;B22,1,0))</f>
        <v>0</v>
      </c>
      <c r="CO22" s="34">
        <f>IF(AND($B22&gt;0,OR($AJ22="")),1,IF($AJ22&gt;$B22,1,0))</f>
        <v>0</v>
      </c>
      <c r="CR22" s="7"/>
    </row>
    <row r="23" spans="1:105">
      <c r="CJ23" s="7"/>
      <c r="CK23" s="7"/>
      <c r="CL23" s="7"/>
      <c r="CM23" s="7"/>
      <c r="CN23" s="7"/>
      <c r="CO23" s="7"/>
    </row>
    <row r="24" spans="1:105">
      <c r="Q24" s="3"/>
      <c r="CJ24" s="7"/>
      <c r="CK24" s="7"/>
      <c r="CL24" s="7"/>
      <c r="CM24" s="7"/>
      <c r="CN24" s="7"/>
      <c r="CO24" s="7"/>
    </row>
    <row r="25" spans="1:105">
      <c r="CJ25" s="7"/>
      <c r="CK25" s="7"/>
      <c r="CL25" s="7"/>
    </row>
    <row r="26" spans="1:105">
      <c r="CJ26" s="7"/>
      <c r="CK26" s="7"/>
      <c r="CL26" s="7"/>
    </row>
    <row r="27" spans="1:105">
      <c r="CJ27" s="7"/>
      <c r="CK27" s="7"/>
      <c r="CL27" s="7"/>
    </row>
    <row r="28" spans="1:105">
      <c r="CJ28" s="7"/>
      <c r="CK28" s="7"/>
    </row>
    <row r="29" spans="1:105">
      <c r="CJ29" s="7"/>
      <c r="CK29" s="7"/>
    </row>
    <row r="30" spans="1:105">
      <c r="CJ30" s="7"/>
    </row>
    <row r="33" spans="1:78" ht="10" hidden="1">
      <c r="A33" s="1093">
        <f>SUM(D12:D17,B22)</f>
        <v>0</v>
      </c>
      <c r="B33" s="383" t="s">
        <v>142</v>
      </c>
      <c r="C33" s="5"/>
      <c r="D33" s="5"/>
      <c r="E33" s="5"/>
      <c r="F33" s="5"/>
      <c r="G33" s="5"/>
      <c r="H33" s="5"/>
      <c r="I33" s="5"/>
      <c r="J33" s="5"/>
      <c r="K33" s="5"/>
      <c r="L33" s="5"/>
      <c r="M33" s="5"/>
      <c r="N33" s="5"/>
      <c r="O33" s="5"/>
      <c r="P33" s="5"/>
      <c r="Q33" s="5"/>
      <c r="R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14.4" hidden="1" customHeight="1">
      <c r="A34" s="1093">
        <f>SUM(CL12:CQ22)</f>
        <v>0</v>
      </c>
      <c r="B34" s="383" t="s">
        <v>143</v>
      </c>
      <c r="C34" s="5"/>
      <c r="D34" s="5"/>
      <c r="E34" s="5"/>
      <c r="F34" s="5"/>
      <c r="G34" s="5"/>
      <c r="H34" s="5"/>
      <c r="I34" s="5"/>
      <c r="J34" s="5"/>
      <c r="K34" s="5"/>
      <c r="L34" s="5"/>
      <c r="M34" s="5"/>
      <c r="N34" s="5"/>
      <c r="O34" s="5"/>
      <c r="P34" s="5"/>
      <c r="Q34" s="5"/>
      <c r="R34" s="5"/>
    </row>
    <row r="38" spans="1:78" ht="12" customHeight="1"/>
  </sheetData>
  <mergeCells count="86">
    <mergeCell ref="AS9:AT10"/>
    <mergeCell ref="G10:H10"/>
    <mergeCell ref="I10:J10"/>
    <mergeCell ref="K10:L10"/>
    <mergeCell ref="M10:N10"/>
    <mergeCell ref="W10:X10"/>
    <mergeCell ref="Y10:Z10"/>
    <mergeCell ref="AM10:AN10"/>
    <mergeCell ref="AO10:AP10"/>
    <mergeCell ref="AQ10:AR10"/>
    <mergeCell ref="A7:AB7"/>
    <mergeCell ref="A8:J8"/>
    <mergeCell ref="A9:C11"/>
    <mergeCell ref="D9:F10"/>
    <mergeCell ref="G9:AR9"/>
    <mergeCell ref="CT9:CT10"/>
    <mergeCell ref="CU9:CU10"/>
    <mergeCell ref="CV9:CV10"/>
    <mergeCell ref="CJ9:CJ10"/>
    <mergeCell ref="CK9:CK10"/>
    <mergeCell ref="CL9:CM10"/>
    <mergeCell ref="CN9:CN11"/>
    <mergeCell ref="CO9:CO11"/>
    <mergeCell ref="CP9:CP11"/>
    <mergeCell ref="CQ9:CQ11"/>
    <mergeCell ref="CR9:CR10"/>
    <mergeCell ref="CS9:CS10"/>
    <mergeCell ref="CI9:CI10"/>
    <mergeCell ref="AU9:AU11"/>
    <mergeCell ref="AV9:AV11"/>
    <mergeCell ref="AW9:AW11"/>
    <mergeCell ref="AX9:AX11"/>
    <mergeCell ref="CA9:CB10"/>
    <mergeCell ref="CD9:CD11"/>
    <mergeCell ref="CE9:CE11"/>
    <mergeCell ref="CF9:CF11"/>
    <mergeCell ref="CG9:CG10"/>
    <mergeCell ref="CH9:CH10"/>
    <mergeCell ref="CC9:CC11"/>
    <mergeCell ref="A12:A15"/>
    <mergeCell ref="B12:B13"/>
    <mergeCell ref="B14:B15"/>
    <mergeCell ref="AA10:AB10"/>
    <mergeCell ref="AC10:AD10"/>
    <mergeCell ref="AE10:AF10"/>
    <mergeCell ref="AG10:AH10"/>
    <mergeCell ref="AI10:AJ10"/>
    <mergeCell ref="AK10:AL10"/>
    <mergeCell ref="O10:P10"/>
    <mergeCell ref="Q10:R10"/>
    <mergeCell ref="S10:T10"/>
    <mergeCell ref="U10:V10"/>
    <mergeCell ref="CF19:CF20"/>
    <mergeCell ref="A16:A17"/>
    <mergeCell ref="A18:F18"/>
    <mergeCell ref="A19:A21"/>
    <mergeCell ref="B19:D20"/>
    <mergeCell ref="E19:AF19"/>
    <mergeCell ref="AC20:AD20"/>
    <mergeCell ref="AE20:AF20"/>
    <mergeCell ref="AG19:AH20"/>
    <mergeCell ref="U20:V20"/>
    <mergeCell ref="W20:X20"/>
    <mergeCell ref="Y20:Z20"/>
    <mergeCell ref="AA20:AB20"/>
    <mergeCell ref="AI19:AI21"/>
    <mergeCell ref="AJ19:AJ21"/>
    <mergeCell ref="CB19:CC20"/>
    <mergeCell ref="CD19:CD21"/>
    <mergeCell ref="CE19:CE21"/>
    <mergeCell ref="CT19:CT20"/>
    <mergeCell ref="CU19:CU20"/>
    <mergeCell ref="E20:F20"/>
    <mergeCell ref="G20:H20"/>
    <mergeCell ref="I20:J20"/>
    <mergeCell ref="K20:L20"/>
    <mergeCell ref="M20:N20"/>
    <mergeCell ref="O20:P20"/>
    <mergeCell ref="Q20:R20"/>
    <mergeCell ref="S20:T20"/>
    <mergeCell ref="CG19:CG20"/>
    <mergeCell ref="CH19:CH20"/>
    <mergeCell ref="CM19:CP20"/>
    <mergeCell ref="CQ19:CQ21"/>
    <mergeCell ref="CR19:CR21"/>
    <mergeCell ref="CS19:CS20"/>
  </mergeCells>
  <dataValidations count="1">
    <dataValidation type="whole" operator="greaterThanOrEqual" allowBlank="1" showInputMessage="1" showErrorMessage="1" sqref="G12:AX17 E22:AJ22" xr:uid="{E895A6B1-2164-4B1C-847F-3B60ED2ACF34}">
      <formula1>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316-05E0-4A45-BCCF-3E2D268EB429}">
  <dimension ref="A1:DM130"/>
  <sheetViews>
    <sheetView workbookViewId="0"/>
  </sheetViews>
  <sheetFormatPr baseColWidth="10" defaultColWidth="11.453125" defaultRowHeight="14.5"/>
  <cols>
    <col min="1" max="1" width="23.90625" style="1524" customWidth="1"/>
    <col min="2" max="3" width="20.6328125" style="1524" customWidth="1"/>
    <col min="4" max="10" width="18" style="1524" customWidth="1"/>
    <col min="11" max="11" width="18" style="1512" customWidth="1"/>
    <col min="12" max="12" width="18.54296875" style="1512" customWidth="1"/>
    <col min="13" max="13" width="14.6328125" style="1531" customWidth="1"/>
    <col min="14" max="25" width="10.08984375" style="1531" customWidth="1"/>
    <col min="26" max="26" width="12.90625" style="1531" customWidth="1"/>
    <col min="27" max="28" width="12.90625" style="1512" customWidth="1"/>
    <col min="29" max="30" width="11.453125" style="346"/>
    <col min="31" max="42" width="12.90625" style="1512" customWidth="1"/>
    <col min="43" max="46" width="11.453125" style="1512"/>
    <col min="47" max="56" width="11.453125" style="1512" hidden="1" customWidth="1"/>
    <col min="57" max="16384" width="11.453125" style="1512"/>
  </cols>
  <sheetData>
    <row r="1" spans="1:117" s="3" customFormat="1" ht="13.5" customHeight="1">
      <c r="A1" s="1" t="s">
        <v>0</v>
      </c>
    </row>
    <row r="2" spans="1:117" s="3" customFormat="1" ht="13.5" customHeight="1">
      <c r="A2" s="1" t="str">
        <f>CONCATENATE("COMUNA: ",[1]NOMBRE!$B$2,"   ","( ",[1]NOMBRE!$C$2,[1]NOMBRE!$D$2,[1]NOMBRE!$E$2,[1]NOMBRE!$F$2,[1]NOMBRE!$G$2," )")</f>
        <v>COMUNA:    (  )</v>
      </c>
    </row>
    <row r="3" spans="1:117" s="3" customFormat="1" ht="13.5" customHeight="1">
      <c r="A3" s="1" t="str">
        <f>CONCATENATE("ESTABLECIMIENTO/ESTRATEGIA: ",[1]NOMBRE!$B$3,"   ","( ",[1]NOMBRE!$C$3,[1]NOMBRE!$D$3,[1]NOMBRE!$E$3,[1]NOMBRE!$F$3,[1]NOMBRE!$G$3,[1]NOMBRE!$H$3," )")</f>
        <v>ESTABLECIMIENTO/ESTRATEGIA:    (  )</v>
      </c>
      <c r="D3" s="672"/>
    </row>
    <row r="4" spans="1:117" s="3" customFormat="1" ht="13.5" customHeight="1">
      <c r="A4" s="1" t="str">
        <f>CONCATENATE("MES: ",[1]NOMBRE!$B$6,"   ","( ",[1]NOMBRE!$C$6,[1]NOMBRE!$D$6," )")</f>
        <v>MES:    (  )</v>
      </c>
    </row>
    <row r="5" spans="1:117" s="3" customFormat="1" ht="13.5" customHeight="1">
      <c r="A5" s="1" t="str">
        <f>CONCATENATE("AÑO: ",[1]NOMBRE!$B$7)</f>
        <v>AÑO: 2025</v>
      </c>
      <c r="N5" s="2367"/>
      <c r="O5" s="2367"/>
      <c r="P5" s="1532"/>
      <c r="Q5" s="1532"/>
      <c r="R5" s="1532"/>
      <c r="S5" s="1532"/>
      <c r="T5" s="1532"/>
      <c r="U5" s="1532"/>
      <c r="V5" s="1532"/>
      <c r="W5" s="1532"/>
      <c r="X5" s="1532"/>
      <c r="Y5" s="1532"/>
      <c r="Z5" s="1532"/>
      <c r="AA5" s="1532"/>
      <c r="AB5" s="1532"/>
      <c r="AE5" s="1532"/>
      <c r="AF5" s="1532"/>
      <c r="AG5" s="1532"/>
      <c r="AH5" s="1532"/>
      <c r="AI5" s="1532"/>
      <c r="AJ5" s="1532"/>
      <c r="AK5" s="1532"/>
      <c r="AL5" s="1532"/>
      <c r="AM5" s="1532"/>
      <c r="AN5" s="918"/>
    </row>
    <row r="6" spans="1:117" s="3" customFormat="1" ht="15" customHeight="1">
      <c r="A6" s="673"/>
      <c r="N6" s="918"/>
      <c r="O6" s="918"/>
      <c r="P6" s="918"/>
      <c r="Q6" s="918"/>
      <c r="R6" s="918"/>
      <c r="S6" s="918"/>
      <c r="T6" s="918"/>
      <c r="U6" s="918"/>
      <c r="V6" s="918"/>
      <c r="W6" s="918"/>
      <c r="X6" s="918"/>
      <c r="Y6" s="918"/>
      <c r="Z6" s="918"/>
      <c r="AA6" s="918"/>
      <c r="AB6" s="918"/>
      <c r="AE6" s="918"/>
      <c r="AF6" s="918"/>
      <c r="AG6" s="918"/>
      <c r="AH6" s="918"/>
      <c r="AI6" s="918"/>
      <c r="AJ6" s="918"/>
      <c r="AK6" s="918"/>
      <c r="AL6" s="918"/>
      <c r="AM6" s="918"/>
      <c r="AN6" s="918"/>
    </row>
    <row r="7" spans="1:117" s="3" customFormat="1" ht="32.25" customHeight="1">
      <c r="A7" s="2368" t="s">
        <v>802</v>
      </c>
      <c r="B7" s="2368"/>
      <c r="C7" s="2368"/>
      <c r="D7" s="2368"/>
      <c r="E7" s="2368"/>
      <c r="F7" s="2368"/>
      <c r="G7" s="2368"/>
      <c r="H7" s="1533"/>
      <c r="I7" s="1533"/>
      <c r="J7" s="1533"/>
      <c r="N7" s="918"/>
      <c r="O7" s="918"/>
      <c r="P7" s="918"/>
      <c r="Q7" s="918"/>
      <c r="R7" s="918"/>
      <c r="S7" s="918"/>
      <c r="T7" s="918"/>
      <c r="U7" s="918"/>
      <c r="V7" s="918"/>
      <c r="W7" s="918"/>
      <c r="X7" s="918"/>
      <c r="Y7" s="918"/>
      <c r="Z7" s="918"/>
      <c r="AA7" s="918"/>
      <c r="AB7" s="918"/>
      <c r="AE7" s="918"/>
      <c r="AF7" s="918"/>
      <c r="AG7" s="918"/>
      <c r="AH7" s="918"/>
      <c r="AI7" s="918"/>
      <c r="AJ7" s="918"/>
      <c r="AK7" s="918"/>
      <c r="AL7" s="918"/>
      <c r="AM7" s="918"/>
      <c r="AN7" s="918"/>
    </row>
    <row r="8" spans="1:117" ht="15" customHeight="1">
      <c r="A8" s="2369" t="s">
        <v>803</v>
      </c>
      <c r="B8" s="2369"/>
      <c r="C8" s="2369"/>
      <c r="D8" s="1534"/>
      <c r="E8" s="1534"/>
      <c r="F8" s="1534"/>
      <c r="G8" s="1534"/>
      <c r="H8" s="1534"/>
      <c r="I8" s="1533"/>
      <c r="J8" s="1533"/>
      <c r="K8" s="1533"/>
      <c r="L8" s="1535"/>
      <c r="M8" s="1535"/>
      <c r="N8" s="1535"/>
      <c r="O8" s="1535"/>
      <c r="P8" s="1535"/>
      <c r="Q8" s="1535"/>
      <c r="R8" s="1535"/>
      <c r="S8" s="1535"/>
      <c r="T8" s="1535"/>
      <c r="U8" s="1535"/>
      <c r="V8" s="1535"/>
      <c r="W8" s="1535"/>
      <c r="X8" s="1535"/>
      <c r="Y8" s="1535"/>
      <c r="Z8" s="1535"/>
      <c r="AA8" s="1535"/>
      <c r="AB8" s="1535"/>
      <c r="AE8" s="1535"/>
      <c r="AF8" s="1535"/>
      <c r="AG8" s="1535"/>
      <c r="AH8" s="1535"/>
      <c r="AI8" s="1535"/>
      <c r="AJ8" s="1535"/>
      <c r="AK8" s="1535"/>
      <c r="AL8" s="1535"/>
      <c r="AM8" s="1535"/>
      <c r="AN8" s="1511"/>
    </row>
    <row r="9" spans="1:117" s="1538" customFormat="1" ht="15" customHeight="1">
      <c r="A9" s="2370" t="s">
        <v>804</v>
      </c>
      <c r="B9" s="2370"/>
      <c r="C9" s="2370"/>
      <c r="D9" s="1534"/>
      <c r="E9" s="1534"/>
      <c r="F9" s="1534"/>
      <c r="G9" s="1534"/>
      <c r="H9" s="1534"/>
      <c r="I9" s="1536"/>
      <c r="J9" s="1536"/>
      <c r="K9" s="1537"/>
      <c r="L9" s="1537"/>
      <c r="M9" s="1537"/>
      <c r="AC9" s="601"/>
      <c r="AD9" s="601"/>
    </row>
    <row r="10" spans="1:117" ht="61.5" customHeight="1">
      <c r="A10" s="1539" t="s">
        <v>805</v>
      </c>
      <c r="B10" s="1514" t="s">
        <v>806</v>
      </c>
      <c r="C10" s="1563" t="s">
        <v>807</v>
      </c>
      <c r="D10" s="1564" t="s">
        <v>7</v>
      </c>
      <c r="E10" s="1514" t="s">
        <v>58</v>
      </c>
      <c r="F10" s="1512"/>
      <c r="G10" s="1512"/>
      <c r="H10" s="1512"/>
      <c r="I10" s="1512"/>
      <c r="J10" s="1512"/>
      <c r="M10" s="1512"/>
      <c r="N10" s="1512"/>
      <c r="O10" s="1512"/>
      <c r="P10" s="1512"/>
      <c r="Q10" s="1512"/>
      <c r="R10" s="1512"/>
      <c r="S10" s="1512"/>
      <c r="T10" s="1512"/>
      <c r="U10" s="1512"/>
      <c r="V10" s="1512"/>
      <c r="W10" s="1512"/>
      <c r="X10" s="1512"/>
      <c r="Y10" s="1512"/>
      <c r="Z10" s="1512"/>
    </row>
    <row r="11" spans="1:117" s="1515" customFormat="1" ht="15" customHeight="1">
      <c r="A11" s="1520" t="s">
        <v>797</v>
      </c>
      <c r="B11" s="1541"/>
      <c r="C11" s="1542"/>
      <c r="D11" s="1542"/>
      <c r="E11" s="1542"/>
      <c r="F11" s="7" t="s">
        <v>204</v>
      </c>
      <c r="G11" s="680"/>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142" t="str">
        <f>IF(AND(B11+C11&gt;0,OR(D11=""))," * No olvide digitar la variable Pueblos Originarios. Digite Cero si no tiene.",IF(D11&gt;B11+C11," * La variable Pueblos Originarios no puede ser Mayor a la suma de Mujeres +Trans con Tamizaje Vigente.",""))</f>
        <v/>
      </c>
      <c r="AV11" s="142" t="str">
        <f>IF(AND(B11+C11&gt;0,OR(E11=""))," * No olvide digitar la variable Migrantes. Digite Cero si no tiene.",IF(E11&gt;B11+C11," * La variable Migrantes no puede ser Mayor a la suma de Mujeres +Trans con Tamizaje Vigente.",""))</f>
        <v/>
      </c>
      <c r="AW11" s="5"/>
      <c r="AX11" s="5"/>
      <c r="AY11" s="5"/>
      <c r="AZ11" s="5"/>
      <c r="BA11" s="5"/>
      <c r="BB11" s="5"/>
      <c r="BC11" s="34">
        <f>IF(AND($B11+$C11&gt;0,OR(D11="")),1,IF(D11&gt;$B11+$C11,1,0))</f>
        <v>0</v>
      </c>
      <c r="BD11" s="34">
        <f>IF(AND($B11+$C11&gt;0,OR(E11="")),1,IF(E11&gt;$B11+$C11,1,0))</f>
        <v>0</v>
      </c>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G11" s="1512"/>
      <c r="CH11" s="1512"/>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row>
    <row r="12" spans="1:117" s="1515" customFormat="1" ht="15" customHeight="1">
      <c r="A12" s="1517" t="s">
        <v>798</v>
      </c>
      <c r="B12" s="1541"/>
      <c r="C12" s="1542"/>
      <c r="D12" s="1542"/>
      <c r="E12" s="1542"/>
      <c r="F12" s="7" t="s">
        <v>204</v>
      </c>
      <c r="M12" s="1543"/>
      <c r="N12" s="1543"/>
      <c r="O12" s="1543"/>
      <c r="P12" s="1543"/>
      <c r="Q12" s="1543"/>
      <c r="R12" s="1543"/>
      <c r="S12" s="1543"/>
      <c r="T12" s="1543"/>
      <c r="U12" s="1543"/>
      <c r="V12" s="1543"/>
      <c r="W12" s="1543"/>
      <c r="X12" s="1543"/>
      <c r="Y12" s="1543"/>
      <c r="Z12" s="1543"/>
      <c r="AA12" s="1544"/>
      <c r="AU12" s="142" t="str">
        <f t="shared" ref="AU12:AU23" si="0">IF(AND(B12+C12&gt;0,OR(D12=""))," * No olvide digitar la variable Pueblos Originarios. Digite Cero si no tiene.",IF(D12&gt;B12+C12," * La variable Pueblos Originarios no puede ser Mayor a la suma de Mujeres +Trans con Tamizaje Vigente.",""))</f>
        <v/>
      </c>
      <c r="AV12" s="142" t="str">
        <f t="shared" ref="AV12:AV23" si="1">IF(AND(B12+C12&gt;0,OR(E12=""))," * No olvide digitar la variable Migrantes. Digite Cero si no tiene.",IF(E12&gt;B12+C12," * La variable Migrantes no puede ser Mayor a la suma de Mujeres +Trans con Tamizaje Vigente.",""))</f>
        <v/>
      </c>
      <c r="BB12" s="1516"/>
      <c r="BC12" s="34">
        <f t="shared" ref="BC12:BD23" si="2">IF(AND($B12+$C12&gt;0,OR(D12="")),1,IF(D12&gt;$B12+$C12,1,0))</f>
        <v>0</v>
      </c>
      <c r="BD12" s="34">
        <f t="shared" si="2"/>
        <v>0</v>
      </c>
    </row>
    <row r="13" spans="1:117" ht="15" customHeight="1">
      <c r="A13" s="1517" t="s">
        <v>16</v>
      </c>
      <c r="B13" s="1541"/>
      <c r="C13" s="1542"/>
      <c r="D13" s="1542"/>
      <c r="E13" s="1542"/>
      <c r="F13" s="7" t="s">
        <v>204</v>
      </c>
      <c r="G13" s="1512"/>
      <c r="H13" s="1512"/>
      <c r="I13" s="1512"/>
      <c r="J13" s="1512"/>
      <c r="AA13" s="1544"/>
      <c r="AE13" s="1515"/>
      <c r="AU13" s="142" t="str">
        <f t="shared" si="0"/>
        <v/>
      </c>
      <c r="AV13" s="142" t="str">
        <f t="shared" si="1"/>
        <v/>
      </c>
      <c r="BB13" s="1513"/>
      <c r="BC13" s="34">
        <f t="shared" si="2"/>
        <v>0</v>
      </c>
      <c r="BD13" s="34">
        <f t="shared" si="2"/>
        <v>0</v>
      </c>
    </row>
    <row r="14" spans="1:117" ht="15" customHeight="1">
      <c r="A14" s="1517" t="s">
        <v>17</v>
      </c>
      <c r="B14" s="1541"/>
      <c r="C14" s="1542"/>
      <c r="D14" s="1542"/>
      <c r="E14" s="1542"/>
      <c r="F14" s="7" t="s">
        <v>204</v>
      </c>
      <c r="G14" s="1512"/>
      <c r="H14" s="1512"/>
      <c r="I14" s="1512"/>
      <c r="J14" s="1512"/>
      <c r="AA14" s="1544"/>
      <c r="AE14" s="1515"/>
      <c r="AU14" s="142" t="str">
        <f t="shared" si="0"/>
        <v/>
      </c>
      <c r="AV14" s="142" t="str">
        <f t="shared" si="1"/>
        <v/>
      </c>
      <c r="BB14" s="1513"/>
      <c r="BC14" s="34">
        <f t="shared" si="2"/>
        <v>0</v>
      </c>
      <c r="BD14" s="34">
        <f t="shared" si="2"/>
        <v>0</v>
      </c>
    </row>
    <row r="15" spans="1:117" ht="15" customHeight="1">
      <c r="A15" s="1517" t="s">
        <v>18</v>
      </c>
      <c r="B15" s="1541"/>
      <c r="C15" s="1542"/>
      <c r="D15" s="1542"/>
      <c r="E15" s="1542"/>
      <c r="F15" s="7" t="s">
        <v>204</v>
      </c>
      <c r="G15" s="1512"/>
      <c r="H15" s="1512"/>
      <c r="I15" s="1512"/>
      <c r="J15" s="1512"/>
      <c r="AA15" s="1544"/>
      <c r="AE15" s="1515"/>
      <c r="AU15" s="142" t="str">
        <f t="shared" si="0"/>
        <v/>
      </c>
      <c r="AV15" s="142" t="str">
        <f t="shared" si="1"/>
        <v/>
      </c>
      <c r="BB15" s="1513"/>
      <c r="BC15" s="34">
        <f t="shared" si="2"/>
        <v>0</v>
      </c>
      <c r="BD15" s="34">
        <f t="shared" si="2"/>
        <v>0</v>
      </c>
    </row>
    <row r="16" spans="1:117" ht="15" customHeight="1">
      <c r="A16" s="1517" t="s">
        <v>19</v>
      </c>
      <c r="B16" s="1541"/>
      <c r="C16" s="1542"/>
      <c r="D16" s="1542"/>
      <c r="E16" s="1542"/>
      <c r="F16" s="7" t="s">
        <v>204</v>
      </c>
      <c r="G16" s="1512"/>
      <c r="H16" s="1512"/>
      <c r="I16" s="1512"/>
      <c r="J16" s="1512"/>
      <c r="AA16" s="1544"/>
      <c r="AE16" s="1515"/>
      <c r="AU16" s="142" t="str">
        <f t="shared" si="0"/>
        <v/>
      </c>
      <c r="AV16" s="142" t="str">
        <f t="shared" si="1"/>
        <v/>
      </c>
      <c r="BB16" s="1513"/>
      <c r="BC16" s="34">
        <f t="shared" si="2"/>
        <v>0</v>
      </c>
      <c r="BD16" s="34">
        <f t="shared" si="2"/>
        <v>0</v>
      </c>
    </row>
    <row r="17" spans="1:56" ht="15" customHeight="1">
      <c r="A17" s="1517" t="s">
        <v>20</v>
      </c>
      <c r="B17" s="1541"/>
      <c r="C17" s="1542"/>
      <c r="D17" s="1542"/>
      <c r="E17" s="1542"/>
      <c r="F17" s="7" t="s">
        <v>204</v>
      </c>
      <c r="G17" s="1512"/>
      <c r="H17" s="1512"/>
      <c r="I17" s="1512"/>
      <c r="J17" s="1512"/>
      <c r="AA17" s="1544"/>
      <c r="AE17" s="1515"/>
      <c r="AU17" s="142" t="str">
        <f t="shared" si="0"/>
        <v/>
      </c>
      <c r="AV17" s="142" t="str">
        <f t="shared" si="1"/>
        <v/>
      </c>
      <c r="BB17" s="1513"/>
      <c r="BC17" s="34">
        <f t="shared" si="2"/>
        <v>0</v>
      </c>
      <c r="BD17" s="34">
        <f t="shared" si="2"/>
        <v>0</v>
      </c>
    </row>
    <row r="18" spans="1:56" ht="15" customHeight="1">
      <c r="A18" s="1517" t="s">
        <v>21</v>
      </c>
      <c r="B18" s="1541"/>
      <c r="C18" s="1542"/>
      <c r="D18" s="1542"/>
      <c r="E18" s="1542"/>
      <c r="F18" s="7" t="s">
        <v>204</v>
      </c>
      <c r="G18" s="1512"/>
      <c r="H18" s="1512"/>
      <c r="I18" s="1512"/>
      <c r="J18" s="1512"/>
      <c r="AA18" s="1544"/>
      <c r="AE18" s="1515"/>
      <c r="AU18" s="142" t="str">
        <f t="shared" si="0"/>
        <v/>
      </c>
      <c r="AV18" s="142" t="str">
        <f t="shared" si="1"/>
        <v/>
      </c>
      <c r="BB18" s="1513"/>
      <c r="BC18" s="34">
        <f t="shared" si="2"/>
        <v>0</v>
      </c>
      <c r="BD18" s="34">
        <f t="shared" si="2"/>
        <v>0</v>
      </c>
    </row>
    <row r="19" spans="1:56" ht="15" customHeight="1">
      <c r="A19" s="1517" t="s">
        <v>22</v>
      </c>
      <c r="B19" s="1541"/>
      <c r="C19" s="1542"/>
      <c r="D19" s="1542"/>
      <c r="E19" s="1542"/>
      <c r="F19" s="7" t="s">
        <v>204</v>
      </c>
      <c r="G19" s="1512"/>
      <c r="H19" s="1512"/>
      <c r="I19" s="1512"/>
      <c r="J19" s="1512"/>
      <c r="AA19" s="1544"/>
      <c r="AE19" s="1515"/>
      <c r="AU19" s="142" t="str">
        <f t="shared" si="0"/>
        <v/>
      </c>
      <c r="AV19" s="142" t="str">
        <f t="shared" si="1"/>
        <v/>
      </c>
      <c r="BB19" s="1513"/>
      <c r="BC19" s="34">
        <f t="shared" si="2"/>
        <v>0</v>
      </c>
      <c r="BD19" s="34">
        <f t="shared" si="2"/>
        <v>0</v>
      </c>
    </row>
    <row r="20" spans="1:56" ht="15" customHeight="1">
      <c r="A20" s="1517" t="s">
        <v>23</v>
      </c>
      <c r="B20" s="1541"/>
      <c r="C20" s="1542"/>
      <c r="D20" s="1542"/>
      <c r="E20" s="1542"/>
      <c r="F20" s="7" t="s">
        <v>204</v>
      </c>
      <c r="G20" s="1512"/>
      <c r="H20" s="1512"/>
      <c r="I20" s="1512"/>
      <c r="J20" s="1512"/>
      <c r="AA20" s="1544"/>
      <c r="AE20" s="1515"/>
      <c r="AU20" s="142" t="str">
        <f t="shared" si="0"/>
        <v/>
      </c>
      <c r="AV20" s="142" t="str">
        <f t="shared" si="1"/>
        <v/>
      </c>
      <c r="BB20" s="1513"/>
      <c r="BC20" s="34">
        <f t="shared" si="2"/>
        <v>0</v>
      </c>
      <c r="BD20" s="34">
        <f t="shared" si="2"/>
        <v>0</v>
      </c>
    </row>
    <row r="21" spans="1:56" ht="15" customHeight="1">
      <c r="A21" s="1517" t="s">
        <v>358</v>
      </c>
      <c r="B21" s="1541"/>
      <c r="C21" s="1542"/>
      <c r="D21" s="1542"/>
      <c r="E21" s="1542"/>
      <c r="F21" s="7" t="s">
        <v>204</v>
      </c>
      <c r="G21" s="1512"/>
      <c r="H21" s="1512"/>
      <c r="I21" s="1512"/>
      <c r="J21" s="1512"/>
      <c r="AA21" s="1544"/>
      <c r="AE21" s="1515"/>
      <c r="AU21" s="142" t="str">
        <f t="shared" si="0"/>
        <v/>
      </c>
      <c r="AV21" s="142" t="str">
        <f t="shared" si="1"/>
        <v/>
      </c>
      <c r="BB21" s="1513"/>
      <c r="BC21" s="34">
        <f t="shared" si="2"/>
        <v>0</v>
      </c>
      <c r="BD21" s="34">
        <f t="shared" si="2"/>
        <v>0</v>
      </c>
    </row>
    <row r="22" spans="1:56" ht="15" customHeight="1">
      <c r="A22" s="1517" t="s">
        <v>359</v>
      </c>
      <c r="B22" s="1541"/>
      <c r="C22" s="1542"/>
      <c r="D22" s="1542"/>
      <c r="E22" s="1542"/>
      <c r="F22" s="7" t="s">
        <v>204</v>
      </c>
      <c r="G22" s="1512"/>
      <c r="H22" s="1512"/>
      <c r="I22" s="1512"/>
      <c r="J22" s="1512"/>
      <c r="AA22" s="1544"/>
      <c r="AE22" s="1515"/>
      <c r="AU22" s="142" t="str">
        <f t="shared" si="0"/>
        <v/>
      </c>
      <c r="AV22" s="142" t="str">
        <f t="shared" si="1"/>
        <v/>
      </c>
      <c r="BB22" s="1513"/>
      <c r="BC22" s="34">
        <f t="shared" si="2"/>
        <v>0</v>
      </c>
      <c r="BD22" s="34">
        <f t="shared" si="2"/>
        <v>0</v>
      </c>
    </row>
    <row r="23" spans="1:56" ht="15" customHeight="1">
      <c r="A23" s="1517" t="s">
        <v>360</v>
      </c>
      <c r="B23" s="1541"/>
      <c r="C23" s="1542"/>
      <c r="D23" s="1542"/>
      <c r="E23" s="1542"/>
      <c r="F23" s="7" t="s">
        <v>204</v>
      </c>
      <c r="G23" s="1512"/>
      <c r="H23" s="1512"/>
      <c r="I23" s="1512"/>
      <c r="J23" s="1512"/>
      <c r="AA23" s="1544"/>
      <c r="AE23" s="1515"/>
      <c r="AU23" s="142" t="str">
        <f t="shared" si="0"/>
        <v/>
      </c>
      <c r="AV23" s="142" t="str">
        <f t="shared" si="1"/>
        <v/>
      </c>
      <c r="BB23" s="1513"/>
      <c r="BC23" s="34">
        <f t="shared" si="2"/>
        <v>0</v>
      </c>
      <c r="BD23" s="34">
        <f t="shared" si="2"/>
        <v>0</v>
      </c>
    </row>
    <row r="24" spans="1:56" ht="15" customHeight="1">
      <c r="A24" s="1545" t="s">
        <v>5</v>
      </c>
      <c r="B24" s="1546">
        <f>SUM(B11:B23)</f>
        <v>0</v>
      </c>
      <c r="C24" s="1547">
        <f>SUM(C11:C23)</f>
        <v>0</v>
      </c>
      <c r="D24" s="1547">
        <f>SUM(D11:D23)</f>
        <v>0</v>
      </c>
      <c r="E24" s="1548">
        <f>SUM(E11:E23)</f>
        <v>0</v>
      </c>
      <c r="F24" s="1512"/>
      <c r="G24" s="1512"/>
      <c r="H24" s="1512"/>
      <c r="I24" s="1512"/>
      <c r="J24" s="1512"/>
      <c r="M24" s="1512"/>
      <c r="N24" s="1512"/>
      <c r="O24" s="1512"/>
      <c r="P24" s="1512"/>
      <c r="Q24" s="1512"/>
      <c r="R24" s="1512"/>
      <c r="S24" s="1512"/>
      <c r="T24" s="1512"/>
      <c r="U24" s="1512"/>
      <c r="V24" s="1512"/>
      <c r="W24" s="1512"/>
      <c r="X24" s="1512"/>
      <c r="Y24" s="1512"/>
      <c r="Z24" s="1512"/>
    </row>
    <row r="25" spans="1:56" ht="15.75" customHeight="1">
      <c r="A25" s="2371" t="s">
        <v>808</v>
      </c>
      <c r="B25" s="2371"/>
      <c r="C25" s="2371"/>
      <c r="D25" s="1519"/>
      <c r="E25" s="1519"/>
      <c r="F25" s="1519"/>
      <c r="G25" s="1519"/>
      <c r="H25" s="1518"/>
      <c r="I25" s="1518"/>
      <c r="J25" s="1512"/>
      <c r="M25" s="1512"/>
      <c r="N25" s="1512"/>
      <c r="O25" s="1512"/>
      <c r="P25" s="1512"/>
      <c r="Q25" s="1512"/>
      <c r="R25" s="1512"/>
      <c r="S25" s="1512"/>
      <c r="T25" s="1512"/>
      <c r="U25" s="1512"/>
      <c r="V25" s="1512"/>
      <c r="W25" s="1512"/>
      <c r="X25" s="1512"/>
      <c r="Y25" s="1512"/>
      <c r="Z25" s="1512"/>
    </row>
    <row r="26" spans="1:56" s="1511" customFormat="1" ht="17.149999999999999" customHeight="1">
      <c r="A26" s="2370" t="s">
        <v>809</v>
      </c>
      <c r="B26" s="2370"/>
      <c r="C26" s="2370"/>
      <c r="D26" s="1519"/>
      <c r="E26" s="1519"/>
      <c r="F26" s="1519"/>
      <c r="G26" s="1519"/>
      <c r="H26" s="1518"/>
      <c r="I26" s="1524"/>
      <c r="J26" s="1524"/>
      <c r="K26" s="1512"/>
      <c r="L26" s="1512"/>
      <c r="M26" s="1512"/>
      <c r="N26" s="1512"/>
      <c r="O26" s="1512"/>
      <c r="P26" s="1512"/>
      <c r="Q26" s="1512"/>
      <c r="R26" s="1512"/>
      <c r="S26" s="1512"/>
      <c r="T26" s="1512"/>
      <c r="U26" s="1512"/>
      <c r="V26" s="1512"/>
      <c r="W26" s="1512"/>
      <c r="X26" s="1512"/>
      <c r="Y26" s="1512"/>
      <c r="Z26" s="1512"/>
      <c r="AA26" s="1512"/>
      <c r="AB26" s="1512"/>
      <c r="AE26" s="1512"/>
      <c r="AF26" s="1512"/>
      <c r="AG26" s="1512"/>
      <c r="AH26" s="1512"/>
      <c r="AI26" s="1512"/>
      <c r="AJ26" s="1512"/>
      <c r="AK26" s="1512"/>
      <c r="AL26" s="1512"/>
      <c r="AM26" s="1512"/>
      <c r="AN26" s="1512"/>
    </row>
    <row r="27" spans="1:56" s="1511" customFormat="1" ht="48.75" customHeight="1">
      <c r="A27" s="1540" t="s">
        <v>810</v>
      </c>
      <c r="B27" s="1514" t="s">
        <v>811</v>
      </c>
      <c r="C27" s="1563" t="s">
        <v>812</v>
      </c>
      <c r="D27" s="1564" t="s">
        <v>7</v>
      </c>
      <c r="E27" s="1514" t="s">
        <v>58</v>
      </c>
      <c r="F27" s="1519"/>
      <c r="G27" s="1519"/>
      <c r="H27" s="1518"/>
      <c r="I27" s="1512"/>
      <c r="J27" s="1512"/>
      <c r="K27" s="1512"/>
      <c r="L27" s="1512"/>
      <c r="M27" s="1512"/>
      <c r="N27" s="1512"/>
      <c r="O27" s="1512"/>
      <c r="P27" s="1512"/>
      <c r="Q27" s="1512"/>
      <c r="R27" s="1512"/>
      <c r="S27" s="1512"/>
      <c r="T27" s="1512"/>
      <c r="U27" s="1512"/>
      <c r="V27" s="1512"/>
      <c r="W27" s="1512"/>
      <c r="X27" s="1512"/>
      <c r="Y27" s="1512"/>
      <c r="Z27" s="1512"/>
      <c r="AA27" s="1512"/>
      <c r="AB27" s="1512"/>
      <c r="AE27" s="1512"/>
      <c r="AF27" s="1512"/>
      <c r="AG27" s="1512"/>
      <c r="AH27" s="1512"/>
      <c r="AI27" s="1512"/>
      <c r="AJ27" s="1512"/>
      <c r="AK27" s="1512"/>
      <c r="AL27" s="1512"/>
      <c r="AM27" s="1512"/>
      <c r="AN27" s="1512"/>
    </row>
    <row r="28" spans="1:56" s="1511" customFormat="1" ht="15" customHeight="1">
      <c r="A28" s="1521" t="s">
        <v>16</v>
      </c>
      <c r="B28" s="1549"/>
      <c r="C28" s="1550"/>
      <c r="D28" s="1542"/>
      <c r="E28" s="1542"/>
      <c r="F28" s="7" t="s">
        <v>204</v>
      </c>
      <c r="G28" s="1519"/>
      <c r="H28" s="1518"/>
      <c r="I28" s="1512"/>
      <c r="J28" s="1512"/>
      <c r="K28" s="1512"/>
      <c r="L28" s="1512"/>
      <c r="M28" s="1531"/>
      <c r="N28" s="1531"/>
      <c r="O28" s="1531"/>
      <c r="P28" s="1531"/>
      <c r="Q28" s="1531"/>
      <c r="R28" s="1531"/>
      <c r="S28" s="1531"/>
      <c r="T28" s="1531"/>
      <c r="U28" s="1531"/>
      <c r="V28" s="1531"/>
      <c r="W28" s="1531"/>
      <c r="X28" s="1531"/>
      <c r="Y28" s="1531"/>
      <c r="Z28" s="1531"/>
      <c r="AA28" s="1512"/>
      <c r="AB28" s="1512"/>
      <c r="AE28" s="1512"/>
      <c r="AF28" s="1512"/>
      <c r="AG28" s="1512"/>
      <c r="AH28" s="1512"/>
      <c r="AI28" s="1512"/>
      <c r="AJ28" s="1512"/>
      <c r="AK28" s="1512"/>
      <c r="AL28" s="1512"/>
      <c r="AM28" s="1512"/>
      <c r="AN28" s="1512"/>
      <c r="AU28" s="142" t="str">
        <f>IF(AND(B28+C28&gt;0,OR(D28=""))," * No olvide digitar la variable Pueblos Originarios. Digite Cero si no tiene.",IF(D28&gt;B28+C28," * La variable Pueblos Originarios no puede ser Mayor a la suma de Mujeres +Trans con examen VPH Vigente.",""))</f>
        <v/>
      </c>
      <c r="AV28" s="142" t="str">
        <f>IF(AND(B28+C28&gt;0,OR(E28=""))," * No olvide digitar la variable Migrantes. Digite Cero si no tiene.",IF(E28&gt;B28+C28," * La variable Migrantes no puede ser Mayor a la suma de Mujeres +Trans con examen VPH Vigente.",""))</f>
        <v/>
      </c>
      <c r="AZ28" s="1522"/>
      <c r="BA28" s="1522"/>
      <c r="BB28" s="1522"/>
      <c r="BC28" s="34">
        <f t="shared" ref="BC28:BD34" si="3">IF(AND($B28+$C28&gt;0,OR(D28="")),1,IF(D28&gt;$B28+$C28,1,0))</f>
        <v>0</v>
      </c>
      <c r="BD28" s="34">
        <f t="shared" si="3"/>
        <v>0</v>
      </c>
    </row>
    <row r="29" spans="1:56" s="1511" customFormat="1" ht="15" customHeight="1">
      <c r="A29" s="1517" t="s">
        <v>17</v>
      </c>
      <c r="B29" s="1549"/>
      <c r="C29" s="1550"/>
      <c r="D29" s="1542"/>
      <c r="E29" s="1542"/>
      <c r="F29" s="7" t="s">
        <v>204</v>
      </c>
      <c r="G29" s="1519"/>
      <c r="H29" s="1518"/>
      <c r="I29" s="1512"/>
      <c r="J29" s="1512"/>
      <c r="K29" s="1512"/>
      <c r="L29" s="1512"/>
      <c r="M29" s="1531"/>
      <c r="N29" s="1531"/>
      <c r="O29" s="1531"/>
      <c r="P29" s="1531"/>
      <c r="Q29" s="1531"/>
      <c r="R29" s="1531"/>
      <c r="S29" s="1531"/>
      <c r="T29" s="1531"/>
      <c r="U29" s="1531"/>
      <c r="V29" s="1531"/>
      <c r="W29" s="1531"/>
      <c r="X29" s="1531"/>
      <c r="Y29" s="1531"/>
      <c r="Z29" s="1531"/>
      <c r="AA29" s="1512"/>
      <c r="AB29" s="1512"/>
      <c r="AE29" s="1512"/>
      <c r="AF29" s="1512"/>
      <c r="AG29" s="1512"/>
      <c r="AH29" s="1512"/>
      <c r="AI29" s="1512"/>
      <c r="AJ29" s="1512"/>
      <c r="AK29" s="1512"/>
      <c r="AL29" s="1512"/>
      <c r="AM29" s="1512"/>
      <c r="AN29" s="1512"/>
      <c r="AU29" s="142" t="str">
        <f t="shared" ref="AU29:AU34" si="4">IF(AND(B29+C29&gt;0,OR(D29=""))," * No olvide digitar la variable Pueblos Originarios. Digite Cero si no tiene.",IF(D29&gt;B29+C29," * La variable Pueblos Originarios no puede ser Mayor a la suma de Mujeres +Trans con examen VPH Vigente.",""))</f>
        <v/>
      </c>
      <c r="AV29" s="142" t="str">
        <f t="shared" ref="AV29:AV34" si="5">IF(AND(B29+C29&gt;0,OR(E29=""))," * No olvide digitar la variable Migrantes. Digite Cero si no tiene.",IF(E29&gt;B29+C29," * La variable Migrantes no puede ser Mayor a la suma de Mujeres +Trans con examen VPH Vigente.",""))</f>
        <v/>
      </c>
      <c r="AZ29" s="1522"/>
      <c r="BA29" s="1522"/>
      <c r="BB29" s="1522"/>
      <c r="BC29" s="34">
        <f t="shared" si="3"/>
        <v>0</v>
      </c>
      <c r="BD29" s="34">
        <f t="shared" si="3"/>
        <v>0</v>
      </c>
    </row>
    <row r="30" spans="1:56" s="1511" customFormat="1" ht="15" customHeight="1">
      <c r="A30" s="1517" t="s">
        <v>18</v>
      </c>
      <c r="B30" s="1549"/>
      <c r="C30" s="1550"/>
      <c r="D30" s="1542"/>
      <c r="E30" s="1542"/>
      <c r="F30" s="7" t="s">
        <v>204</v>
      </c>
      <c r="G30" s="1519"/>
      <c r="H30" s="1518"/>
      <c r="I30" s="1512"/>
      <c r="J30" s="1512"/>
      <c r="K30" s="1512"/>
      <c r="L30" s="1512"/>
      <c r="M30" s="1531"/>
      <c r="N30" s="1531"/>
      <c r="O30" s="1531"/>
      <c r="P30" s="1531"/>
      <c r="Q30" s="1531"/>
      <c r="R30" s="1531"/>
      <c r="S30" s="1531"/>
      <c r="T30" s="1531"/>
      <c r="U30" s="1531"/>
      <c r="V30" s="1531"/>
      <c r="W30" s="1531"/>
      <c r="X30" s="1531"/>
      <c r="Y30" s="1531"/>
      <c r="Z30" s="1531"/>
      <c r="AA30" s="1512"/>
      <c r="AB30" s="1512"/>
      <c r="AE30" s="1512"/>
      <c r="AF30" s="1512"/>
      <c r="AG30" s="1512"/>
      <c r="AH30" s="1512"/>
      <c r="AI30" s="1512"/>
      <c r="AJ30" s="1512"/>
      <c r="AK30" s="1512"/>
      <c r="AL30" s="1512"/>
      <c r="AM30" s="1512"/>
      <c r="AN30" s="1512"/>
      <c r="AU30" s="142" t="str">
        <f t="shared" si="4"/>
        <v/>
      </c>
      <c r="AV30" s="142" t="str">
        <f t="shared" si="5"/>
        <v/>
      </c>
      <c r="AZ30" s="1522"/>
      <c r="BA30" s="1522"/>
      <c r="BB30" s="1522"/>
      <c r="BC30" s="34">
        <f t="shared" si="3"/>
        <v>0</v>
      </c>
      <c r="BD30" s="34">
        <f t="shared" si="3"/>
        <v>0</v>
      </c>
    </row>
    <row r="31" spans="1:56" s="1511" customFormat="1" ht="15" customHeight="1">
      <c r="A31" s="1517" t="s">
        <v>19</v>
      </c>
      <c r="B31" s="1549"/>
      <c r="C31" s="1550"/>
      <c r="D31" s="1542"/>
      <c r="E31" s="1542"/>
      <c r="F31" s="7" t="s">
        <v>204</v>
      </c>
      <c r="G31" s="1519"/>
      <c r="H31" s="1518"/>
      <c r="I31" s="1512"/>
      <c r="J31" s="1512"/>
      <c r="K31" s="1512"/>
      <c r="L31" s="1512"/>
      <c r="M31" s="1531"/>
      <c r="N31" s="1531"/>
      <c r="O31" s="1531"/>
      <c r="P31" s="1531"/>
      <c r="Q31" s="1531"/>
      <c r="R31" s="1531"/>
      <c r="S31" s="1531"/>
      <c r="T31" s="1531"/>
      <c r="U31" s="1531"/>
      <c r="V31" s="1531"/>
      <c r="W31" s="1531"/>
      <c r="X31" s="1531"/>
      <c r="Y31" s="1531"/>
      <c r="Z31" s="1531"/>
      <c r="AA31" s="1512"/>
      <c r="AB31" s="1512"/>
      <c r="AE31" s="1512"/>
      <c r="AF31" s="1512"/>
      <c r="AG31" s="1512"/>
      <c r="AH31" s="1512"/>
      <c r="AI31" s="1512"/>
      <c r="AJ31" s="1512"/>
      <c r="AK31" s="1512"/>
      <c r="AL31" s="1512"/>
      <c r="AM31" s="1512"/>
      <c r="AN31" s="1512"/>
      <c r="AU31" s="142" t="str">
        <f t="shared" si="4"/>
        <v/>
      </c>
      <c r="AV31" s="142" t="str">
        <f t="shared" si="5"/>
        <v/>
      </c>
      <c r="AZ31" s="1522"/>
      <c r="BA31" s="1522"/>
      <c r="BB31" s="1522"/>
      <c r="BC31" s="34">
        <f t="shared" si="3"/>
        <v>0</v>
      </c>
      <c r="BD31" s="34">
        <f t="shared" si="3"/>
        <v>0</v>
      </c>
    </row>
    <row r="32" spans="1:56" s="1511" customFormat="1" ht="15" customHeight="1">
      <c r="A32" s="1517" t="s">
        <v>20</v>
      </c>
      <c r="B32" s="1549"/>
      <c r="C32" s="1550"/>
      <c r="D32" s="1542"/>
      <c r="E32" s="1542"/>
      <c r="F32" s="7" t="s">
        <v>204</v>
      </c>
      <c r="G32" s="1519"/>
      <c r="H32" s="1518"/>
      <c r="I32" s="1512"/>
      <c r="J32" s="1512"/>
      <c r="K32" s="1512"/>
      <c r="L32" s="1512"/>
      <c r="M32" s="1531"/>
      <c r="N32" s="1531"/>
      <c r="O32" s="1531"/>
      <c r="P32" s="1531"/>
      <c r="Q32" s="1531"/>
      <c r="R32" s="1531"/>
      <c r="S32" s="1531"/>
      <c r="T32" s="1531"/>
      <c r="U32" s="1531"/>
      <c r="V32" s="1531"/>
      <c r="W32" s="1531"/>
      <c r="X32" s="1531"/>
      <c r="Y32" s="1531"/>
      <c r="Z32" s="1531"/>
      <c r="AA32" s="1512"/>
      <c r="AB32" s="1512"/>
      <c r="AE32" s="1512"/>
      <c r="AF32" s="1512"/>
      <c r="AG32" s="1512"/>
      <c r="AH32" s="1512"/>
      <c r="AI32" s="1512"/>
      <c r="AJ32" s="1512"/>
      <c r="AK32" s="1512"/>
      <c r="AL32" s="1512"/>
      <c r="AM32" s="1512"/>
      <c r="AN32" s="1512"/>
      <c r="AP32" s="5"/>
      <c r="AU32" s="142" t="str">
        <f t="shared" si="4"/>
        <v/>
      </c>
      <c r="AV32" s="142" t="str">
        <f t="shared" si="5"/>
        <v/>
      </c>
      <c r="BC32" s="34">
        <f t="shared" si="3"/>
        <v>0</v>
      </c>
      <c r="BD32" s="34">
        <f t="shared" si="3"/>
        <v>0</v>
      </c>
    </row>
    <row r="33" spans="1:56" s="1511" customFormat="1" ht="15" customHeight="1">
      <c r="A33" s="1517" t="s">
        <v>21</v>
      </c>
      <c r="B33" s="1549"/>
      <c r="C33" s="1550"/>
      <c r="D33" s="1542"/>
      <c r="E33" s="1542"/>
      <c r="F33" s="7" t="s">
        <v>204</v>
      </c>
      <c r="G33" s="1519"/>
      <c r="H33" s="1518"/>
      <c r="I33" s="1512"/>
      <c r="J33" s="1512"/>
      <c r="K33" s="1512"/>
      <c r="L33" s="1512"/>
      <c r="M33" s="1531"/>
      <c r="N33" s="1531"/>
      <c r="O33" s="1531"/>
      <c r="P33" s="1531"/>
      <c r="Q33" s="1531"/>
      <c r="R33" s="1531"/>
      <c r="S33" s="1531"/>
      <c r="T33" s="1531"/>
      <c r="U33" s="1531"/>
      <c r="V33" s="1531"/>
      <c r="W33" s="1531"/>
      <c r="X33" s="1531"/>
      <c r="Y33" s="1531"/>
      <c r="Z33" s="1531"/>
      <c r="AA33" s="1512"/>
      <c r="AB33" s="1512"/>
      <c r="AE33" s="1512"/>
      <c r="AF33" s="1512"/>
      <c r="AG33" s="1512"/>
      <c r="AH33" s="1512"/>
      <c r="AI33" s="1512"/>
      <c r="AJ33" s="1512"/>
      <c r="AK33" s="1512"/>
      <c r="AL33" s="1512"/>
      <c r="AM33" s="1512"/>
      <c r="AN33" s="1512"/>
      <c r="AO33" s="1512"/>
      <c r="AP33" s="1512"/>
      <c r="AU33" s="142" t="str">
        <f t="shared" si="4"/>
        <v/>
      </c>
      <c r="AV33" s="142" t="str">
        <f t="shared" si="5"/>
        <v/>
      </c>
      <c r="BC33" s="34">
        <f t="shared" si="3"/>
        <v>0</v>
      </c>
      <c r="BD33" s="34">
        <f t="shared" si="3"/>
        <v>0</v>
      </c>
    </row>
    <row r="34" spans="1:56" ht="15" customHeight="1">
      <c r="A34" s="1517" t="s">
        <v>22</v>
      </c>
      <c r="B34" s="1551"/>
      <c r="C34" s="1552"/>
      <c r="D34" s="1553"/>
      <c r="E34" s="1553"/>
      <c r="F34" s="7" t="s">
        <v>204</v>
      </c>
      <c r="G34" s="1519"/>
      <c r="H34" s="1518"/>
      <c r="I34" s="1512"/>
      <c r="J34" s="1512"/>
      <c r="AU34" s="142" t="str">
        <f t="shared" si="4"/>
        <v/>
      </c>
      <c r="AV34" s="142" t="str">
        <f t="shared" si="5"/>
        <v/>
      </c>
      <c r="BC34" s="34">
        <f t="shared" si="3"/>
        <v>0</v>
      </c>
      <c r="BD34" s="34">
        <f t="shared" si="3"/>
        <v>0</v>
      </c>
    </row>
    <row r="35" spans="1:56" ht="15" customHeight="1">
      <c r="A35" s="1554" t="s">
        <v>5</v>
      </c>
      <c r="B35" s="1546">
        <f>SUM(B28:B34)</f>
        <v>0</v>
      </c>
      <c r="C35" s="1555">
        <f>SUM(C28:C34)</f>
        <v>0</v>
      </c>
      <c r="D35" s="1556">
        <f>SUM(D28:D34)</f>
        <v>0</v>
      </c>
      <c r="E35" s="1557">
        <f>SUM(E28:E34)</f>
        <v>0</v>
      </c>
      <c r="F35" s="1519"/>
      <c r="G35" s="1519"/>
      <c r="H35" s="1518"/>
      <c r="I35" s="1512"/>
      <c r="J35" s="1512"/>
    </row>
    <row r="36" spans="1:56" ht="15" customHeight="1">
      <c r="A36" s="2364" t="s">
        <v>813</v>
      </c>
      <c r="B36" s="2364"/>
      <c r="I36" s="1512"/>
      <c r="J36" s="1512"/>
    </row>
    <row r="37" spans="1:56" ht="15" customHeight="1">
      <c r="A37" s="2365" t="s">
        <v>814</v>
      </c>
      <c r="B37" s="2365"/>
      <c r="C37" s="2365"/>
      <c r="D37" s="2365"/>
      <c r="I37" s="1512"/>
      <c r="J37" s="1512"/>
    </row>
    <row r="38" spans="1:56" ht="30">
      <c r="A38" s="1525" t="s">
        <v>801</v>
      </c>
      <c r="B38" s="1514" t="s">
        <v>815</v>
      </c>
      <c r="C38" s="1563" t="s">
        <v>816</v>
      </c>
      <c r="D38" s="1564" t="s">
        <v>7</v>
      </c>
      <c r="E38" s="1514" t="s">
        <v>58</v>
      </c>
      <c r="F38" s="1512"/>
      <c r="G38" s="1512"/>
      <c r="H38" s="1512"/>
      <c r="J38" s="1512"/>
    </row>
    <row r="39" spans="1:56" ht="17.149999999999999" customHeight="1">
      <c r="A39" s="1526" t="s">
        <v>799</v>
      </c>
      <c r="B39" s="1541"/>
      <c r="C39" s="1542"/>
      <c r="D39" s="1542"/>
      <c r="E39" s="1542"/>
      <c r="F39" s="7" t="s">
        <v>204</v>
      </c>
      <c r="G39" s="1512"/>
      <c r="H39" s="1512"/>
      <c r="AU39" s="142" t="str">
        <f>IF(AND(B39+C39&gt;0,OR(D39=""))," * No olvide digitar la variable Pueblos Originarios. Digite Cero si no tiene.",IF(D39&gt;B39+C39," * La variable Pueblos Originarios no puede ser Mayor a la suma de Mujeres +Trans con Mamografía Vigente.",""))</f>
        <v/>
      </c>
      <c r="AV39" s="142" t="str">
        <f>IF(AND(B39+C39&gt;0,OR(E39=""))," * No olvide digitar la variable Migrantes. Digite Cero si no tiene.",IF(E39&gt;B39+C39," * La variable Migrantes no puede ser Mayor a la suma de Mujeres +Trans con Mamografía Vigente.",""))</f>
        <v/>
      </c>
      <c r="BC39" s="34">
        <f t="shared" ref="BC39:BD47" si="6">IF(AND($B39+$C39&gt;0,OR(D39="")),1,IF(D39&gt;$B39+$C39,1,0))</f>
        <v>0</v>
      </c>
      <c r="BD39" s="34">
        <f t="shared" si="6"/>
        <v>0</v>
      </c>
    </row>
    <row r="40" spans="1:56">
      <c r="A40" s="1527" t="s">
        <v>800</v>
      </c>
      <c r="B40" s="1541"/>
      <c r="C40" s="1542"/>
      <c r="D40" s="1542"/>
      <c r="E40" s="1542"/>
      <c r="F40" s="7" t="s">
        <v>204</v>
      </c>
      <c r="G40" s="1512"/>
      <c r="H40" s="1512"/>
      <c r="J40" s="1512"/>
      <c r="AU40" s="142" t="str">
        <f t="shared" ref="AU40:AU47" si="7">IF(AND(B40+C40&gt;0,OR(D40=""))," * No olvide digitar la variable Pueblos Originarios. Digite Cero si no tiene.",IF(D40&gt;B40+C40," * La variable Pueblos Originarios no puede ser Mayor a la suma de Mujeres +Trans con Mamografía Vigente.",""))</f>
        <v/>
      </c>
      <c r="AV40" s="142" t="str">
        <f t="shared" ref="AV40:AV47" si="8">IF(AND(B40+C40&gt;0,OR(E40=""))," * No olvide digitar la variable Migrantes. Digite Cero si no tiene.",IF(E40&gt;B40+C40," * La variable Migrantes no puede ser Mayor a la suma de Mujeres +Trans con Mamografía Vigente.",""))</f>
        <v/>
      </c>
      <c r="BC40" s="34">
        <f t="shared" si="6"/>
        <v>0</v>
      </c>
      <c r="BD40" s="34">
        <f t="shared" si="6"/>
        <v>0</v>
      </c>
    </row>
    <row r="41" spans="1:56" ht="15" customHeight="1">
      <c r="A41" s="1517" t="s">
        <v>20</v>
      </c>
      <c r="B41" s="1541"/>
      <c r="C41" s="1542"/>
      <c r="D41" s="1542"/>
      <c r="E41" s="1542"/>
      <c r="F41" s="7" t="s">
        <v>204</v>
      </c>
      <c r="G41" s="1512"/>
      <c r="H41" s="1512"/>
      <c r="J41" s="1512"/>
      <c r="AU41" s="142" t="str">
        <f t="shared" si="7"/>
        <v/>
      </c>
      <c r="AV41" s="142" t="str">
        <f t="shared" si="8"/>
        <v/>
      </c>
      <c r="BC41" s="34">
        <f t="shared" si="6"/>
        <v>0</v>
      </c>
      <c r="BD41" s="34">
        <f t="shared" si="6"/>
        <v>0</v>
      </c>
    </row>
    <row r="42" spans="1:56" ht="15" customHeight="1">
      <c r="A42" s="1517" t="s">
        <v>21</v>
      </c>
      <c r="B42" s="1541"/>
      <c r="C42" s="1542"/>
      <c r="D42" s="1542"/>
      <c r="E42" s="1542"/>
      <c r="F42" s="7" t="s">
        <v>204</v>
      </c>
      <c r="G42" s="1512"/>
      <c r="H42" s="1512"/>
      <c r="I42" s="1512"/>
      <c r="J42" s="1512"/>
      <c r="AU42" s="142" t="str">
        <f t="shared" si="7"/>
        <v/>
      </c>
      <c r="AV42" s="142" t="str">
        <f t="shared" si="8"/>
        <v/>
      </c>
      <c r="BC42" s="34">
        <f t="shared" si="6"/>
        <v>0</v>
      </c>
      <c r="BD42" s="34">
        <f t="shared" si="6"/>
        <v>0</v>
      </c>
    </row>
    <row r="43" spans="1:56" ht="15" customHeight="1">
      <c r="A43" s="1517" t="s">
        <v>22</v>
      </c>
      <c r="B43" s="1541"/>
      <c r="C43" s="1542"/>
      <c r="D43" s="1542"/>
      <c r="E43" s="1542"/>
      <c r="F43" s="7" t="s">
        <v>204</v>
      </c>
      <c r="G43" s="1512"/>
      <c r="H43" s="1512"/>
      <c r="I43" s="1512"/>
      <c r="J43" s="1512"/>
      <c r="AU43" s="142" t="str">
        <f t="shared" si="7"/>
        <v/>
      </c>
      <c r="AV43" s="142" t="str">
        <f t="shared" si="8"/>
        <v/>
      </c>
      <c r="BC43" s="34">
        <f t="shared" si="6"/>
        <v>0</v>
      </c>
      <c r="BD43" s="34">
        <f t="shared" si="6"/>
        <v>0</v>
      </c>
    </row>
    <row r="44" spans="1:56" ht="15" customHeight="1">
      <c r="A44" s="1517" t="s">
        <v>23</v>
      </c>
      <c r="B44" s="1541"/>
      <c r="C44" s="1542"/>
      <c r="D44" s="1542"/>
      <c r="E44" s="1542"/>
      <c r="F44" s="7" t="s">
        <v>204</v>
      </c>
      <c r="G44" s="1512"/>
      <c r="H44" s="1512"/>
      <c r="I44" s="1512"/>
      <c r="J44" s="1512"/>
      <c r="AU44" s="142" t="str">
        <f t="shared" si="7"/>
        <v/>
      </c>
      <c r="AV44" s="142" t="str">
        <f t="shared" si="8"/>
        <v/>
      </c>
      <c r="BC44" s="34">
        <f t="shared" si="6"/>
        <v>0</v>
      </c>
      <c r="BD44" s="34">
        <f t="shared" si="6"/>
        <v>0</v>
      </c>
    </row>
    <row r="45" spans="1:56" ht="15" customHeight="1">
      <c r="A45" s="1517" t="s">
        <v>358</v>
      </c>
      <c r="B45" s="1541"/>
      <c r="C45" s="1542"/>
      <c r="D45" s="1542"/>
      <c r="E45" s="1542"/>
      <c r="F45" s="7" t="s">
        <v>204</v>
      </c>
      <c r="G45" s="1512"/>
      <c r="H45" s="1512"/>
      <c r="I45" s="1512"/>
      <c r="J45" s="1512"/>
      <c r="AU45" s="142" t="str">
        <f t="shared" si="7"/>
        <v/>
      </c>
      <c r="AV45" s="142" t="str">
        <f t="shared" si="8"/>
        <v/>
      </c>
      <c r="BC45" s="34">
        <f t="shared" si="6"/>
        <v>0</v>
      </c>
      <c r="BD45" s="34">
        <f t="shared" si="6"/>
        <v>0</v>
      </c>
    </row>
    <row r="46" spans="1:56" ht="15" customHeight="1">
      <c r="A46" s="1517" t="s">
        <v>359</v>
      </c>
      <c r="B46" s="1541"/>
      <c r="C46" s="1542"/>
      <c r="D46" s="1542"/>
      <c r="E46" s="1542"/>
      <c r="F46" s="7" t="s">
        <v>204</v>
      </c>
      <c r="G46" s="1512"/>
      <c r="H46" s="1512"/>
      <c r="I46" s="1512"/>
      <c r="J46" s="1512"/>
      <c r="AU46" s="142" t="str">
        <f t="shared" si="7"/>
        <v/>
      </c>
      <c r="AV46" s="142" t="str">
        <f t="shared" si="8"/>
        <v/>
      </c>
      <c r="BC46" s="34">
        <f t="shared" si="6"/>
        <v>0</v>
      </c>
      <c r="BD46" s="34">
        <f t="shared" si="6"/>
        <v>0</v>
      </c>
    </row>
    <row r="47" spans="1:56" ht="15" customHeight="1">
      <c r="A47" s="1517" t="s">
        <v>360</v>
      </c>
      <c r="B47" s="1541"/>
      <c r="C47" s="1542"/>
      <c r="D47" s="1542"/>
      <c r="E47" s="1542"/>
      <c r="F47" s="7" t="s">
        <v>204</v>
      </c>
      <c r="G47" s="1512"/>
      <c r="H47" s="1512"/>
      <c r="I47" s="1512"/>
      <c r="J47" s="1512"/>
      <c r="AU47" s="142" t="str">
        <f t="shared" si="7"/>
        <v/>
      </c>
      <c r="AV47" s="142" t="str">
        <f t="shared" si="8"/>
        <v/>
      </c>
      <c r="BC47" s="34">
        <f>IF(AND($B47+$C47&gt;0,OR(D47="")),1,IF(D47&gt;$B47+$C47,1,0))</f>
        <v>0</v>
      </c>
      <c r="BD47" s="34">
        <f t="shared" si="6"/>
        <v>0</v>
      </c>
    </row>
    <row r="48" spans="1:56" ht="15" customHeight="1">
      <c r="A48" s="1528" t="s">
        <v>5</v>
      </c>
      <c r="B48" s="1558">
        <f>SUM(B39:B47)</f>
        <v>0</v>
      </c>
      <c r="C48" s="1559">
        <f>SUM(C39:C47)</f>
        <v>0</v>
      </c>
      <c r="D48" s="1559">
        <f t="shared" ref="D48:E48" si="9">SUM(D39:D47)</f>
        <v>0</v>
      </c>
      <c r="E48" s="1560">
        <f t="shared" si="9"/>
        <v>0</v>
      </c>
      <c r="F48" s="1512"/>
      <c r="G48" s="1512"/>
      <c r="H48" s="1512"/>
      <c r="I48" s="1512"/>
      <c r="J48" s="1512"/>
    </row>
    <row r="49" spans="1:56" ht="15" customHeight="1">
      <c r="A49" s="1530" t="s">
        <v>817</v>
      </c>
      <c r="B49" s="1561"/>
      <c r="C49" s="3"/>
      <c r="D49" s="1511"/>
      <c r="E49" s="346"/>
      <c r="F49" s="346"/>
      <c r="G49" s="346"/>
      <c r="H49" s="346"/>
      <c r="I49" s="1512"/>
      <c r="J49" s="1512"/>
    </row>
    <row r="50" spans="1:56" ht="15" customHeight="1">
      <c r="A50" s="2366" t="s">
        <v>818</v>
      </c>
      <c r="B50" s="2366"/>
      <c r="C50" s="2366"/>
      <c r="D50" s="2366"/>
      <c r="E50" s="1523"/>
      <c r="F50" s="346"/>
      <c r="G50" s="346"/>
      <c r="H50" s="346"/>
      <c r="J50" s="1512"/>
      <c r="M50" s="1512"/>
      <c r="N50" s="1512"/>
      <c r="O50" s="1512"/>
      <c r="P50" s="1512"/>
      <c r="Q50" s="1512"/>
      <c r="R50" s="1512"/>
      <c r="S50" s="1512"/>
      <c r="T50" s="1512"/>
      <c r="U50" s="1512"/>
      <c r="V50" s="1512"/>
      <c r="W50" s="1512"/>
      <c r="X50" s="1512"/>
      <c r="Y50" s="1512"/>
      <c r="Z50" s="1512"/>
    </row>
    <row r="51" spans="1:56" ht="35.25" customHeight="1">
      <c r="A51" s="1529" t="s">
        <v>801</v>
      </c>
      <c r="B51" s="1514" t="s">
        <v>819</v>
      </c>
      <c r="C51" s="1563" t="s">
        <v>820</v>
      </c>
      <c r="D51" s="1564" t="s">
        <v>7</v>
      </c>
      <c r="E51" s="1514" t="s">
        <v>58</v>
      </c>
      <c r="F51" s="346"/>
      <c r="G51" s="346"/>
      <c r="H51" s="346"/>
      <c r="J51" s="1512"/>
      <c r="M51" s="1512"/>
      <c r="N51" s="1512"/>
      <c r="O51" s="1512"/>
      <c r="P51" s="1512"/>
      <c r="Q51" s="1512"/>
      <c r="R51" s="1512"/>
      <c r="S51" s="1512"/>
      <c r="T51" s="1512"/>
      <c r="U51" s="1512"/>
      <c r="V51" s="1512"/>
      <c r="W51" s="1512"/>
      <c r="X51" s="1512"/>
      <c r="Y51" s="1512"/>
      <c r="Z51" s="1512"/>
    </row>
    <row r="52" spans="1:56" ht="17.149999999999999" customHeight="1">
      <c r="A52" s="1526" t="s">
        <v>799</v>
      </c>
      <c r="B52" s="1541"/>
      <c r="C52" s="1542"/>
      <c r="D52" s="1542"/>
      <c r="E52" s="1542"/>
      <c r="F52" s="7" t="s">
        <v>204</v>
      </c>
      <c r="G52" s="346"/>
      <c r="H52" s="346"/>
      <c r="M52" s="1512"/>
      <c r="N52" s="1512"/>
      <c r="O52" s="1512"/>
      <c r="P52" s="1512"/>
      <c r="Q52" s="1512"/>
      <c r="R52" s="1512"/>
      <c r="S52" s="1512"/>
      <c r="T52" s="1512"/>
      <c r="U52" s="1512"/>
      <c r="V52" s="1512"/>
      <c r="W52" s="1512"/>
      <c r="X52" s="1512"/>
      <c r="Y52" s="1512"/>
      <c r="Z52" s="1512"/>
      <c r="AU52" s="142" t="str">
        <f>IF(AND(B52+C52&gt;0,OR(D52=""))," * No olvide digitar la variable Pueblos Originarios. Digite Cero si no tiene.",IF(D52&gt;B52+C52," * La variable Pueblos Originarios no puede ser Mayor a la suma de Mujeres +Trans con EFM Vigente.",""))</f>
        <v/>
      </c>
      <c r="AV52" s="142" t="str">
        <f>IF(AND(B52+C52&gt;0,OR(E52=""))," * No olvide digitar la variable Migrantes. Digite Cero si no tiene.",IF(E52&gt;B52+C52," * La variable Migrantes no puede ser Mayor a la suma de Mujeres +Trans con EFM Vigente.",""))</f>
        <v/>
      </c>
      <c r="BC52" s="34">
        <f t="shared" ref="BC52:BD60" si="10">IF(AND($B52+$C52&gt;0,OR(D52="")),1,IF(D52&gt;$B52+$C52,1,0))</f>
        <v>0</v>
      </c>
      <c r="BD52" s="34">
        <f t="shared" si="10"/>
        <v>0</v>
      </c>
    </row>
    <row r="53" spans="1:56">
      <c r="A53" s="1527" t="s">
        <v>800</v>
      </c>
      <c r="B53" s="1541"/>
      <c r="C53" s="1542"/>
      <c r="D53" s="1542"/>
      <c r="E53" s="1542"/>
      <c r="F53" s="7" t="s">
        <v>204</v>
      </c>
      <c r="G53" s="1512"/>
      <c r="H53" s="1512"/>
      <c r="M53" s="1512"/>
      <c r="N53" s="1512"/>
      <c r="O53" s="1512"/>
      <c r="P53" s="1512"/>
      <c r="Q53" s="1512"/>
      <c r="R53" s="1512"/>
      <c r="S53" s="1512"/>
      <c r="T53" s="1512"/>
      <c r="U53" s="1512"/>
      <c r="V53" s="1512"/>
      <c r="W53" s="1512"/>
      <c r="X53" s="1512"/>
      <c r="Y53" s="1512"/>
      <c r="Z53" s="1512"/>
      <c r="AU53" s="142" t="str">
        <f t="shared" ref="AU53:AU60" si="11">IF(AND(B53+C53&gt;0,OR(D53=""))," * No olvide digitar la variable Pueblos Originarios. Digite Cero si no tiene.",IF(D53&gt;B53+C53," * La variable Pueblos Originarios no puede ser Mayor a la suma de Mujeres +Trans con EFM Vigente.",""))</f>
        <v/>
      </c>
      <c r="AV53" s="142" t="str">
        <f t="shared" ref="AV53:AV60" si="12">IF(AND(B53+C53&gt;0,OR(E53=""))," * No olvide digitar la variable Migrantes. Digite Cero si no tiene.",IF(E53&gt;B53+C53," * La variable Migrantes no puede ser Mayor a la suma de Mujeres +Trans con EFM Vigente.",""))</f>
        <v/>
      </c>
      <c r="BC53" s="34">
        <f t="shared" si="10"/>
        <v>0</v>
      </c>
      <c r="BD53" s="34">
        <f t="shared" si="10"/>
        <v>0</v>
      </c>
    </row>
    <row r="54" spans="1:56" s="1524" customFormat="1" ht="15" customHeight="1">
      <c r="A54" s="1517" t="s">
        <v>20</v>
      </c>
      <c r="B54" s="1541"/>
      <c r="C54" s="1542"/>
      <c r="D54" s="1542"/>
      <c r="E54" s="1542"/>
      <c r="F54" s="7" t="s">
        <v>204</v>
      </c>
      <c r="G54" s="1512"/>
      <c r="H54" s="1512"/>
      <c r="K54" s="1512"/>
      <c r="L54" s="1512"/>
      <c r="M54" s="1531"/>
      <c r="N54" s="1531"/>
      <c r="O54" s="1531"/>
      <c r="P54" s="1531"/>
      <c r="Q54" s="1531"/>
      <c r="R54" s="1531"/>
      <c r="S54" s="1531"/>
      <c r="T54" s="1531"/>
      <c r="U54" s="1531"/>
      <c r="V54" s="1531"/>
      <c r="W54" s="1531"/>
      <c r="X54" s="1531"/>
      <c r="Y54" s="1531"/>
      <c r="Z54" s="1531"/>
      <c r="AA54" s="1544"/>
      <c r="AB54" s="1512"/>
      <c r="AE54" s="1512"/>
      <c r="AF54" s="1512"/>
      <c r="AG54" s="1512"/>
      <c r="AH54" s="1512"/>
      <c r="AI54" s="1512"/>
      <c r="AJ54" s="1512"/>
      <c r="AK54" s="1512"/>
      <c r="AL54" s="1512"/>
      <c r="AM54" s="1512"/>
      <c r="AN54" s="1512"/>
      <c r="AO54" s="1512"/>
      <c r="AQ54" s="1512"/>
      <c r="AR54" s="1512"/>
      <c r="AS54" s="1512"/>
      <c r="AT54" s="1512"/>
      <c r="AU54" s="142" t="str">
        <f t="shared" si="11"/>
        <v/>
      </c>
      <c r="AV54" s="142" t="str">
        <f t="shared" si="12"/>
        <v/>
      </c>
      <c r="AW54" s="1512"/>
      <c r="AX54" s="1512"/>
      <c r="AY54" s="1512"/>
      <c r="AZ54" s="1512"/>
      <c r="BA54" s="1512"/>
      <c r="BB54" s="1512"/>
      <c r="BC54" s="34">
        <f t="shared" si="10"/>
        <v>0</v>
      </c>
      <c r="BD54" s="34">
        <f t="shared" si="10"/>
        <v>0</v>
      </c>
    </row>
    <row r="55" spans="1:56" ht="15" customHeight="1">
      <c r="A55" s="1517" t="s">
        <v>21</v>
      </c>
      <c r="B55" s="1541"/>
      <c r="C55" s="1542"/>
      <c r="D55" s="1542"/>
      <c r="E55" s="1542"/>
      <c r="F55" s="7" t="s">
        <v>204</v>
      </c>
      <c r="G55" s="1512"/>
      <c r="H55" s="1512"/>
      <c r="AA55" s="1544"/>
      <c r="AU55" s="142" t="str">
        <f t="shared" si="11"/>
        <v/>
      </c>
      <c r="AV55" s="142" t="str">
        <f t="shared" si="12"/>
        <v/>
      </c>
      <c r="BC55" s="34">
        <f t="shared" si="10"/>
        <v>0</v>
      </c>
      <c r="BD55" s="34">
        <f t="shared" si="10"/>
        <v>0</v>
      </c>
    </row>
    <row r="56" spans="1:56" ht="15" customHeight="1">
      <c r="A56" s="1517" t="s">
        <v>22</v>
      </c>
      <c r="B56" s="1541"/>
      <c r="C56" s="1542"/>
      <c r="D56" s="1542"/>
      <c r="E56" s="1542"/>
      <c r="F56" s="7" t="s">
        <v>204</v>
      </c>
      <c r="G56" s="1512"/>
      <c r="H56" s="1512"/>
      <c r="AA56" s="1544"/>
      <c r="AU56" s="142" t="str">
        <f t="shared" si="11"/>
        <v/>
      </c>
      <c r="AV56" s="142" t="str">
        <f t="shared" si="12"/>
        <v/>
      </c>
      <c r="BC56" s="34">
        <f t="shared" si="10"/>
        <v>0</v>
      </c>
      <c r="BD56" s="34">
        <f t="shared" si="10"/>
        <v>0</v>
      </c>
    </row>
    <row r="57" spans="1:56" ht="15" customHeight="1">
      <c r="A57" s="1517" t="s">
        <v>23</v>
      </c>
      <c r="B57" s="1541"/>
      <c r="C57" s="1542"/>
      <c r="D57" s="1542"/>
      <c r="E57" s="1542"/>
      <c r="F57" s="7" t="s">
        <v>204</v>
      </c>
      <c r="G57" s="1512"/>
      <c r="H57" s="1512"/>
      <c r="AA57" s="1544"/>
      <c r="AU57" s="142" t="str">
        <f t="shared" si="11"/>
        <v/>
      </c>
      <c r="AV57" s="142" t="str">
        <f t="shared" si="12"/>
        <v/>
      </c>
      <c r="BC57" s="34">
        <f t="shared" si="10"/>
        <v>0</v>
      </c>
      <c r="BD57" s="34">
        <f t="shared" si="10"/>
        <v>0</v>
      </c>
    </row>
    <row r="58" spans="1:56" ht="15" customHeight="1">
      <c r="A58" s="1517" t="s">
        <v>358</v>
      </c>
      <c r="B58" s="1541"/>
      <c r="C58" s="1542"/>
      <c r="D58" s="1542"/>
      <c r="E58" s="1542"/>
      <c r="F58" s="7" t="s">
        <v>204</v>
      </c>
      <c r="G58" s="1512"/>
      <c r="H58" s="1512"/>
      <c r="AA58" s="1544"/>
      <c r="AU58" s="142" t="str">
        <f t="shared" si="11"/>
        <v/>
      </c>
      <c r="AV58" s="142" t="str">
        <f t="shared" si="12"/>
        <v/>
      </c>
      <c r="BC58" s="34">
        <f t="shared" si="10"/>
        <v>0</v>
      </c>
      <c r="BD58" s="34">
        <f t="shared" si="10"/>
        <v>0</v>
      </c>
    </row>
    <row r="59" spans="1:56" ht="15" customHeight="1">
      <c r="A59" s="1517" t="s">
        <v>359</v>
      </c>
      <c r="B59" s="1541"/>
      <c r="C59" s="1542"/>
      <c r="D59" s="1542"/>
      <c r="E59" s="1542"/>
      <c r="F59" s="7" t="s">
        <v>204</v>
      </c>
      <c r="G59" s="1512"/>
      <c r="H59" s="1512"/>
      <c r="AA59" s="1544"/>
      <c r="AU59" s="142" t="str">
        <f t="shared" si="11"/>
        <v/>
      </c>
      <c r="AV59" s="142" t="str">
        <f t="shared" si="12"/>
        <v/>
      </c>
      <c r="BC59" s="34">
        <f t="shared" si="10"/>
        <v>0</v>
      </c>
      <c r="BD59" s="34">
        <f t="shared" si="10"/>
        <v>0</v>
      </c>
    </row>
    <row r="60" spans="1:56" ht="15" customHeight="1">
      <c r="A60" s="1517" t="s">
        <v>360</v>
      </c>
      <c r="B60" s="1541"/>
      <c r="C60" s="1542"/>
      <c r="D60" s="1542"/>
      <c r="E60" s="1542"/>
      <c r="F60" s="7" t="s">
        <v>204</v>
      </c>
      <c r="G60" s="1512"/>
      <c r="H60" s="1512"/>
      <c r="AA60" s="1544"/>
      <c r="AU60" s="142" t="str">
        <f t="shared" si="11"/>
        <v/>
      </c>
      <c r="AV60" s="142" t="str">
        <f t="shared" si="12"/>
        <v/>
      </c>
      <c r="BC60" s="34">
        <f t="shared" si="10"/>
        <v>0</v>
      </c>
      <c r="BD60" s="34">
        <f t="shared" si="10"/>
        <v>0</v>
      </c>
    </row>
    <row r="61" spans="1:56" ht="15" customHeight="1">
      <c r="A61" s="1528" t="s">
        <v>5</v>
      </c>
      <c r="B61" s="1558">
        <f>SUM(B52:B60)</f>
        <v>0</v>
      </c>
      <c r="C61" s="1559">
        <f>SUM(C52:C60)</f>
        <v>0</v>
      </c>
      <c r="D61" s="1559">
        <f t="shared" ref="D61:E61" si="13">SUM(D52:D60)</f>
        <v>0</v>
      </c>
      <c r="E61" s="1560">
        <f t="shared" si="13"/>
        <v>0</v>
      </c>
      <c r="F61" s="346"/>
      <c r="G61" s="346"/>
      <c r="H61" s="346"/>
      <c r="M61" s="1512"/>
      <c r="N61" s="1512"/>
      <c r="O61" s="1512"/>
      <c r="P61" s="1512"/>
      <c r="Q61" s="1512"/>
      <c r="R61" s="1512"/>
      <c r="S61" s="1512"/>
      <c r="T61" s="1512"/>
      <c r="U61" s="1512"/>
      <c r="V61" s="1512"/>
      <c r="W61" s="1512"/>
      <c r="X61" s="1512"/>
      <c r="Y61" s="1512"/>
      <c r="Z61" s="1512"/>
    </row>
    <row r="62" spans="1:56">
      <c r="A62" s="1530" t="s">
        <v>817</v>
      </c>
      <c r="B62" s="1561"/>
      <c r="C62" s="3"/>
      <c r="D62" s="1511"/>
      <c r="E62" s="346"/>
      <c r="F62" s="346"/>
      <c r="G62" s="346"/>
      <c r="H62" s="346"/>
      <c r="M62" s="1512"/>
      <c r="N62" s="1512"/>
      <c r="O62" s="1512"/>
      <c r="P62" s="1512"/>
      <c r="Q62" s="1512"/>
      <c r="R62" s="1512"/>
      <c r="S62" s="1512"/>
      <c r="T62" s="1512"/>
      <c r="U62" s="1512"/>
      <c r="V62" s="1512"/>
      <c r="W62" s="1512"/>
      <c r="X62" s="1512"/>
      <c r="Y62" s="1512"/>
      <c r="Z62" s="1512"/>
    </row>
    <row r="63" spans="1:56">
      <c r="M63" s="1512"/>
      <c r="N63" s="1512"/>
      <c r="O63" s="1512"/>
      <c r="P63" s="1512"/>
      <c r="Q63" s="1512"/>
      <c r="R63" s="1512"/>
      <c r="S63" s="1512"/>
      <c r="T63" s="1512"/>
      <c r="U63" s="1512"/>
      <c r="V63" s="1512"/>
      <c r="W63" s="1512"/>
      <c r="X63" s="1512"/>
      <c r="Y63" s="1512"/>
      <c r="Z63" s="1512"/>
    </row>
    <row r="64" spans="1:56">
      <c r="M64" s="1512"/>
      <c r="N64" s="1512"/>
      <c r="O64" s="1512"/>
      <c r="P64" s="1512"/>
      <c r="Q64" s="1512"/>
      <c r="R64" s="1512"/>
      <c r="S64" s="1512"/>
      <c r="T64" s="1512"/>
      <c r="U64" s="1512"/>
      <c r="V64" s="1512"/>
      <c r="W64" s="1512"/>
      <c r="X64" s="1512"/>
      <c r="Y64" s="1512"/>
      <c r="Z64" s="1512"/>
    </row>
    <row r="65" spans="1:26">
      <c r="M65" s="1512"/>
      <c r="N65" s="1512"/>
      <c r="O65" s="1512"/>
      <c r="P65" s="1512"/>
      <c r="Q65" s="1512"/>
      <c r="R65" s="1512"/>
      <c r="S65" s="1512"/>
      <c r="T65" s="1512"/>
      <c r="U65" s="1512"/>
      <c r="V65" s="1512"/>
      <c r="W65" s="1512"/>
      <c r="X65" s="1512"/>
      <c r="Y65" s="1512"/>
      <c r="Z65" s="1512"/>
    </row>
    <row r="66" spans="1:26">
      <c r="M66" s="1512"/>
      <c r="N66" s="1512"/>
      <c r="O66" s="1512"/>
      <c r="P66" s="1512"/>
      <c r="Q66" s="1512"/>
      <c r="R66" s="1512"/>
      <c r="S66" s="1512"/>
      <c r="T66" s="1512"/>
      <c r="U66" s="1512"/>
      <c r="V66" s="1512"/>
      <c r="W66" s="1512"/>
      <c r="X66" s="1512"/>
      <c r="Y66" s="1512"/>
      <c r="Z66" s="1512"/>
    </row>
    <row r="67" spans="1:26">
      <c r="M67" s="1512"/>
      <c r="N67" s="1512"/>
      <c r="O67" s="1512"/>
      <c r="P67" s="1512"/>
      <c r="Q67" s="1512"/>
      <c r="R67" s="1512"/>
      <c r="S67" s="1512"/>
      <c r="T67" s="1512"/>
      <c r="U67" s="1512"/>
      <c r="V67" s="1512"/>
      <c r="W67" s="1512"/>
      <c r="X67" s="1512"/>
      <c r="Y67" s="1512"/>
      <c r="Z67" s="1512"/>
    </row>
    <row r="68" spans="1:26">
      <c r="M68" s="1512"/>
      <c r="N68" s="1512"/>
      <c r="O68" s="1512"/>
      <c r="P68" s="1512"/>
      <c r="Q68" s="1512"/>
      <c r="R68" s="1512"/>
      <c r="S68" s="1512"/>
      <c r="T68" s="1512"/>
      <c r="U68" s="1512"/>
      <c r="V68" s="1512"/>
      <c r="W68" s="1512"/>
      <c r="X68" s="1512"/>
      <c r="Y68" s="1512"/>
      <c r="Z68" s="1512"/>
    </row>
    <row r="69" spans="1:26">
      <c r="M69" s="1512"/>
      <c r="N69" s="1512"/>
      <c r="O69" s="1512"/>
      <c r="P69" s="1512"/>
      <c r="Q69" s="1512"/>
      <c r="R69" s="1512"/>
      <c r="S69" s="1512"/>
      <c r="T69" s="1512"/>
      <c r="U69" s="1512"/>
      <c r="V69" s="1512"/>
      <c r="W69" s="1512"/>
      <c r="X69" s="1512"/>
      <c r="Y69" s="1512"/>
      <c r="Z69" s="1512"/>
    </row>
    <row r="80" spans="1:26" hidden="1">
      <c r="A80" s="1562">
        <f>SUM(B11:C23,B28:C34,B39:C47,B52:C60)</f>
        <v>0</v>
      </c>
      <c r="B80" s="289" t="s">
        <v>142</v>
      </c>
    </row>
    <row r="81" spans="1:2" hidden="1">
      <c r="A81" s="1562">
        <f>SUM(BC11:BD60)</f>
        <v>0</v>
      </c>
      <c r="B81" s="289" t="s">
        <v>143</v>
      </c>
    </row>
    <row r="129" spans="1:2">
      <c r="A129" s="1512"/>
      <c r="B129" s="1512"/>
    </row>
    <row r="130" spans="1:2">
      <c r="A130" s="1512"/>
      <c r="B130" s="1512"/>
    </row>
  </sheetData>
  <mergeCells count="9">
    <mergeCell ref="A36:B36"/>
    <mergeCell ref="A37:D37"/>
    <mergeCell ref="A50:D50"/>
    <mergeCell ref="N5:O5"/>
    <mergeCell ref="A7:G7"/>
    <mergeCell ref="A8:C8"/>
    <mergeCell ref="A9:C9"/>
    <mergeCell ref="A25:C25"/>
    <mergeCell ref="A26:C26"/>
  </mergeCells>
  <dataValidations count="3">
    <dataValidation allowBlank="1" showInputMessage="1" showErrorMessage="1" errorTitle="Error de ingreso" error="Debe ingresar sólo números enteros positivos." sqref="C51:C61 C38:C48 A71:B128 BC61:BD1048576 B1:J6 C27:C36 B61:B70 C62:G1048576 N12:AB1048576 H26:M1048576 A131:B1048576 B24:C25 D60:E61 E49:E50 D36 B10:C10 D47:E48 K1:K7 A6:A70 F61 D25:E26 D35:E35 E36:E37 C49:D49 B27 B38:B40 F10:H10 DN1:XFD1048576 AE1:DM10 L1:AB10 I9:K10 G12:M25 AE12:AT1048576 AU61:AV1048576 AU24:AV27 G26:G61 F24:F27 AU35:AV38 AU48:AV51 F35:F38 F48:F51 AW12:BB1048576 BE12:DM1048576 BC24:BD27 BC35:BD38 BC48:BD51 B51:B53" xr:uid="{20984D3F-739C-49CD-9A30-CBD52FCD2712}"/>
    <dataValidation allowBlank="1" showInputMessage="1" showErrorMessage="1" errorTitle=" Error de ingreso" error="Debe ingresar sólo números enteros positivos." sqref="F52:F60 F11:T11 CK11:DM11 F12:F23 F28:F34 F39:F47 BA11 BC11:CD11 BC12:BD23 BC28:BD34 BC39:BD47 BC52:BD60" xr:uid="{C1084904-418F-4A45-91F9-52DD2776A061}"/>
    <dataValidation type="whole" operator="greaterThanOrEqual" allowBlank="1" showInputMessage="1" showErrorMessage="1" sqref="B11:C23 D34:E34 B41:B49 B28:B35 B54:B60" xr:uid="{6F2F6B60-EA03-408B-B0B5-A9E063582D22}">
      <formula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180-ECCF-4EB1-A7B8-9461A8DD6369}">
  <dimension ref="A1:BZ42"/>
  <sheetViews>
    <sheetView topLeftCell="A19" workbookViewId="0">
      <selection activeCell="A28" sqref="A28"/>
    </sheetView>
  </sheetViews>
  <sheetFormatPr baseColWidth="10" defaultColWidth="11.453125" defaultRowHeight="10"/>
  <cols>
    <col min="1" max="1" width="61.54296875" style="5" customWidth="1"/>
    <col min="2" max="4" width="15.90625" style="5" customWidth="1"/>
    <col min="5" max="16" width="10.36328125" style="5" customWidth="1"/>
    <col min="17" max="18" width="11" style="5" customWidth="1"/>
    <col min="19" max="19" width="14.90625" style="5" customWidth="1"/>
    <col min="20" max="20" width="17.90625" style="5" customWidth="1"/>
    <col min="21" max="48" width="11.453125" style="5"/>
    <col min="49" max="49" width="9.453125" style="5" customWidth="1"/>
    <col min="50" max="52" width="9.453125" style="3" customWidth="1"/>
    <col min="53" max="53" width="9.453125" style="5" hidden="1" customWidth="1"/>
    <col min="54" max="54" width="10.54296875" style="5" hidden="1" customWidth="1"/>
    <col min="55" max="61" width="9.453125" style="5" hidden="1" customWidth="1"/>
    <col min="62" max="62" width="10.6328125" style="5" hidden="1" customWidth="1"/>
    <col min="63" max="64" width="9.453125" style="5" hidden="1" customWidth="1"/>
    <col min="65" max="74" width="9.453125" style="5" customWidth="1"/>
    <col min="75" max="78" width="11.453125" style="6"/>
    <col min="79" max="16384" width="11.453125" style="5"/>
  </cols>
  <sheetData>
    <row r="1" spans="1:78" s="3" customFormat="1" ht="13.5" customHeight="1">
      <c r="A1" s="1" t="s">
        <v>0</v>
      </c>
      <c r="BW1" s="1"/>
      <c r="BX1" s="1"/>
      <c r="BY1" s="1"/>
      <c r="BZ1" s="1"/>
    </row>
    <row r="2" spans="1:78" s="3" customFormat="1" ht="13.5" customHeight="1">
      <c r="A2" s="1" t="str">
        <f>CONCATENATE("COMUNA: ",[1]NOMBRE!$B$2,"   ","( ",[1]NOMBRE!$C$2,[1]NOMBRE!$D$2,[1]NOMBRE!$E$2,[1]NOMBRE!$F$2,[1]NOMBRE!$G$2," )")</f>
        <v>COMUNA:    (  )</v>
      </c>
      <c r="BW2" s="1"/>
      <c r="BX2" s="1"/>
      <c r="BY2" s="1"/>
      <c r="BZ2" s="1"/>
    </row>
    <row r="3" spans="1:78" s="3" customFormat="1" ht="13.5" customHeight="1">
      <c r="A3" s="1" t="str">
        <f>CONCATENATE("ESTABLECIMIENTO/ESTRATEGIA: ",[1]NOMBRE!$B$3,"   ","( ",[1]NOMBRE!$C$3,[1]NOMBRE!$D$3,[1]NOMBRE!$E$3,[1]NOMBRE!$F$3,[1]NOMBRE!$G$3,[1]NOMBRE!$H$3," )")</f>
        <v>ESTABLECIMIENTO/ESTRATEGIA:    (  )</v>
      </c>
      <c r="D3" s="672"/>
      <c r="BW3" s="1"/>
      <c r="BX3" s="1"/>
      <c r="BY3" s="1"/>
      <c r="BZ3" s="1"/>
    </row>
    <row r="4" spans="1:78" s="3" customFormat="1" ht="13.5" customHeight="1">
      <c r="A4" s="1" t="str">
        <f>CONCATENATE("MES: ",[1]NOMBRE!$B$6,"   ","( ",[1]NOMBRE!$C$6,[1]NOMBRE!$D$6," )")</f>
        <v>MES:    (  )</v>
      </c>
      <c r="BW4" s="1"/>
      <c r="BX4" s="1"/>
      <c r="BY4" s="1"/>
      <c r="BZ4" s="1"/>
    </row>
    <row r="5" spans="1:78" s="3" customFormat="1" ht="13.5" customHeight="1">
      <c r="A5" s="1" t="str">
        <f>CONCATENATE("AÑO: ",[1]NOMBRE!$B$7)</f>
        <v>AÑO: 2025</v>
      </c>
      <c r="BW5" s="1"/>
      <c r="BX5" s="1"/>
      <c r="BY5" s="1"/>
      <c r="BZ5" s="1"/>
    </row>
    <row r="6" spans="1:78" s="3" customFormat="1" ht="15" customHeight="1">
      <c r="A6" s="673"/>
      <c r="BW6" s="1"/>
      <c r="BX6" s="1"/>
      <c r="BY6" s="1"/>
      <c r="BZ6" s="1"/>
    </row>
    <row r="7" spans="1:78" s="7" customFormat="1" ht="20.25" customHeight="1">
      <c r="A7" s="2273" t="s">
        <v>821</v>
      </c>
      <c r="B7" s="2273"/>
      <c r="C7" s="2273"/>
      <c r="D7" s="2273"/>
      <c r="E7" s="2273"/>
      <c r="F7" s="2273"/>
      <c r="G7" s="2273"/>
      <c r="H7" s="2273"/>
      <c r="I7" s="2273"/>
      <c r="J7" s="2273"/>
      <c r="K7" s="2273"/>
      <c r="L7" s="2273"/>
      <c r="M7" s="2273"/>
      <c r="N7" s="2273"/>
      <c r="O7" s="2273"/>
      <c r="P7" s="2273"/>
      <c r="Q7" s="2273"/>
      <c r="R7" s="2273"/>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3"/>
      <c r="AY7" s="3"/>
      <c r="AZ7" s="3"/>
      <c r="BW7" s="1565"/>
      <c r="BX7" s="1565"/>
      <c r="BY7" s="1565"/>
      <c r="BZ7" s="1565"/>
    </row>
    <row r="8" spans="1:78" ht="17.149999999999999" customHeight="1">
      <c r="A8" s="1566" t="s">
        <v>822</v>
      </c>
      <c r="B8" s="1567"/>
      <c r="C8" s="1567"/>
      <c r="D8" s="6"/>
      <c r="E8" s="6"/>
      <c r="F8" s="6"/>
      <c r="G8" s="6"/>
      <c r="H8" s="6"/>
      <c r="I8" s="6"/>
      <c r="J8" s="6"/>
      <c r="K8" s="350"/>
    </row>
    <row r="9" spans="1:78" ht="15.75" customHeight="1">
      <c r="A9" s="2378" t="s">
        <v>823</v>
      </c>
      <c r="B9" s="2379" t="s">
        <v>5</v>
      </c>
      <c r="C9" s="2380"/>
      <c r="D9" s="2381"/>
      <c r="E9" s="2385" t="s">
        <v>354</v>
      </c>
      <c r="F9" s="2386"/>
      <c r="G9" s="2386"/>
      <c r="H9" s="2386"/>
      <c r="I9" s="2386"/>
      <c r="J9" s="2386"/>
      <c r="K9" s="2386"/>
      <c r="L9" s="2386"/>
      <c r="M9" s="2386"/>
      <c r="N9" s="2386"/>
      <c r="O9" s="2386"/>
      <c r="P9" s="2387"/>
      <c r="Q9" s="2394" t="s">
        <v>58</v>
      </c>
      <c r="R9" s="2391" t="s">
        <v>7</v>
      </c>
      <c r="W9" s="346"/>
      <c r="X9" s="346"/>
      <c r="Y9" s="346"/>
      <c r="Z9" s="346"/>
      <c r="AA9" s="346"/>
      <c r="AB9" s="346"/>
      <c r="AC9" s="346"/>
      <c r="AD9" s="346"/>
      <c r="AE9" s="346"/>
      <c r="AF9" s="346"/>
    </row>
    <row r="10" spans="1:78" ht="15.75" customHeight="1">
      <c r="A10" s="2378"/>
      <c r="B10" s="2382"/>
      <c r="C10" s="2383"/>
      <c r="D10" s="2384"/>
      <c r="E10" s="2372" t="s">
        <v>824</v>
      </c>
      <c r="F10" s="2373"/>
      <c r="G10" s="2372" t="s">
        <v>825</v>
      </c>
      <c r="H10" s="2373"/>
      <c r="I10" s="2372" t="s">
        <v>826</v>
      </c>
      <c r="J10" s="2373"/>
      <c r="K10" s="2372" t="s">
        <v>13</v>
      </c>
      <c r="L10" s="2373"/>
      <c r="M10" s="2372" t="s">
        <v>827</v>
      </c>
      <c r="N10" s="2373"/>
      <c r="O10" s="2372" t="s">
        <v>828</v>
      </c>
      <c r="P10" s="2374"/>
      <c r="Q10" s="2395"/>
      <c r="R10" s="2392"/>
      <c r="BA10" s="2084" t="s">
        <v>58</v>
      </c>
      <c r="BB10" s="2084" t="s">
        <v>7</v>
      </c>
      <c r="BC10" s="2049"/>
      <c r="BD10" s="2049"/>
      <c r="BI10" s="2084" t="s">
        <v>58</v>
      </c>
      <c r="BJ10" s="2084" t="s">
        <v>7</v>
      </c>
      <c r="BK10" s="2049"/>
      <c r="BL10" s="2049"/>
    </row>
    <row r="11" spans="1:78" ht="18" customHeight="1">
      <c r="A11" s="2378"/>
      <c r="B11" s="1568" t="s">
        <v>178</v>
      </c>
      <c r="C11" s="1569" t="s">
        <v>726</v>
      </c>
      <c r="D11" s="1570" t="s">
        <v>41</v>
      </c>
      <c r="E11" s="1571" t="s">
        <v>726</v>
      </c>
      <c r="F11" s="1570" t="s">
        <v>41</v>
      </c>
      <c r="G11" s="1571" t="s">
        <v>726</v>
      </c>
      <c r="H11" s="1570" t="s">
        <v>41</v>
      </c>
      <c r="I11" s="1571" t="s">
        <v>726</v>
      </c>
      <c r="J11" s="1572" t="s">
        <v>41</v>
      </c>
      <c r="K11" s="1571" t="s">
        <v>726</v>
      </c>
      <c r="L11" s="1572" t="s">
        <v>41</v>
      </c>
      <c r="M11" s="1571" t="s">
        <v>726</v>
      </c>
      <c r="N11" s="1572" t="s">
        <v>41</v>
      </c>
      <c r="O11" s="1569" t="s">
        <v>726</v>
      </c>
      <c r="P11" s="1573" t="s">
        <v>41</v>
      </c>
      <c r="Q11" s="2396"/>
      <c r="R11" s="2393"/>
      <c r="BA11" s="1907"/>
      <c r="BB11" s="1907"/>
      <c r="BC11" s="2049"/>
      <c r="BD11" s="2049"/>
      <c r="BI11" s="1907"/>
      <c r="BJ11" s="1907"/>
      <c r="BK11" s="2049"/>
      <c r="BL11" s="2049"/>
    </row>
    <row r="12" spans="1:78" ht="15" customHeight="1">
      <c r="A12" s="1574" t="s">
        <v>5</v>
      </c>
      <c r="B12" s="36">
        <f>SUM(C12:D12)</f>
        <v>0</v>
      </c>
      <c r="C12" s="1575">
        <f>SUM(C13:C16)</f>
        <v>0</v>
      </c>
      <c r="D12" s="1576">
        <f>SUM(D13:D16)</f>
        <v>0</v>
      </c>
      <c r="E12" s="1577">
        <f>SUM(E13:E16)</f>
        <v>0</v>
      </c>
      <c r="F12" s="220">
        <f>SUM(F13:F15)</f>
        <v>0</v>
      </c>
      <c r="G12" s="1577">
        <f>SUM(G13:G15)</f>
        <v>0</v>
      </c>
      <c r="H12" s="220">
        <f>SUM(H13:H15)</f>
        <v>0</v>
      </c>
      <c r="I12" s="1577">
        <f t="shared" ref="I12:R12" si="0">SUM(I13:I16)</f>
        <v>0</v>
      </c>
      <c r="J12" s="1578">
        <f t="shared" si="0"/>
        <v>0</v>
      </c>
      <c r="K12" s="1577">
        <f t="shared" si="0"/>
        <v>0</v>
      </c>
      <c r="L12" s="1578">
        <f t="shared" si="0"/>
        <v>0</v>
      </c>
      <c r="M12" s="1577">
        <f t="shared" si="0"/>
        <v>0</v>
      </c>
      <c r="N12" s="1578">
        <f t="shared" si="0"/>
        <v>0</v>
      </c>
      <c r="O12" s="1575">
        <f t="shared" si="0"/>
        <v>0</v>
      </c>
      <c r="P12" s="1579">
        <f t="shared" si="0"/>
        <v>0</v>
      </c>
      <c r="Q12" s="1576">
        <f t="shared" si="0"/>
        <v>0</v>
      </c>
      <c r="R12" s="1576">
        <f t="shared" si="0"/>
        <v>0</v>
      </c>
      <c r="BA12" s="1738"/>
      <c r="BB12" s="1738"/>
      <c r="BC12" s="2049"/>
      <c r="BD12" s="2049"/>
      <c r="BI12" s="1738"/>
      <c r="BJ12" s="1738"/>
      <c r="BK12" s="2049"/>
      <c r="BL12" s="2049"/>
    </row>
    <row r="13" spans="1:78" ht="15" customHeight="1">
      <c r="A13" s="334" t="s">
        <v>841</v>
      </c>
      <c r="B13" s="22">
        <f>SUM(C13:D13)</f>
        <v>0</v>
      </c>
      <c r="C13" s="1580">
        <f t="shared" ref="C13:D15" si="1">+E13+G13+I13+K13+M13+O13</f>
        <v>0</v>
      </c>
      <c r="D13" s="1581">
        <f t="shared" si="1"/>
        <v>0</v>
      </c>
      <c r="E13" s="50"/>
      <c r="F13" s="53"/>
      <c r="G13" s="50"/>
      <c r="H13" s="53"/>
      <c r="I13" s="50"/>
      <c r="J13" s="53"/>
      <c r="K13" s="50"/>
      <c r="L13" s="53"/>
      <c r="M13" s="50"/>
      <c r="N13" s="53"/>
      <c r="O13" s="46"/>
      <c r="P13" s="205"/>
      <c r="Q13" s="51"/>
      <c r="R13" s="51"/>
      <c r="S13" s="5" t="str">
        <f>BA13&amp;BB13</f>
        <v/>
      </c>
      <c r="BA13" s="142" t="str">
        <f>IF(AND($B13&gt;0,OR($Q13=""))," * No olvide digitar la variable Migrantes. Digite Cero si no tiene.",IF($Q13&gt;$B13," * La variable Migrantes no puede ser Mayor al Total Ambos Sexos.",""))</f>
        <v/>
      </c>
      <c r="BB13" s="142" t="str">
        <f>IF(AND($B13&gt;0,OR($R13=""))," * No olvide digitar la variable Pueblos Originarios. Digite Cero si no tiene.",IF($R13&gt;$B13," * La variable Pueblos Originarios no puede ser Mayor al Total Ambos Sexos.",""))</f>
        <v/>
      </c>
      <c r="BI13" s="34">
        <f>IF(AND($B13&gt;0,OR($Q13="")),1,IF($Q13&gt;$B13,1,0))</f>
        <v>0</v>
      </c>
      <c r="BJ13" s="34">
        <f>IF(AND($B13&gt;0,OR($R13="")),1,IF($R13&gt;$B13,1,0))</f>
        <v>0</v>
      </c>
      <c r="BP13" s="7"/>
      <c r="BR13" s="7"/>
    </row>
    <row r="14" spans="1:78" ht="15" customHeight="1">
      <c r="A14" s="1598" t="s">
        <v>829</v>
      </c>
      <c r="B14" s="45">
        <f>SUM(C14:D14)</f>
        <v>0</v>
      </c>
      <c r="C14" s="1582">
        <f t="shared" si="1"/>
        <v>0</v>
      </c>
      <c r="D14" s="1583">
        <f t="shared" si="1"/>
        <v>0</v>
      </c>
      <c r="E14" s="50"/>
      <c r="F14" s="51"/>
      <c r="G14" s="50"/>
      <c r="H14" s="51"/>
      <c r="I14" s="50"/>
      <c r="J14" s="51"/>
      <c r="K14" s="50"/>
      <c r="L14" s="51"/>
      <c r="M14" s="50"/>
      <c r="N14" s="51"/>
      <c r="O14" s="46"/>
      <c r="P14" s="205"/>
      <c r="Q14" s="51"/>
      <c r="R14" s="51"/>
      <c r="S14" s="5" t="str">
        <f t="shared" ref="S14:S16" si="2">BA14&amp;BB14</f>
        <v/>
      </c>
      <c r="BA14" s="142" t="str">
        <f>IF(AND($B14&gt;0,OR($Q14=""))," * No olvide digitar la variable Migrantes. Digite Cero si no tiene.",IF($Q14&gt;$B14," * La variable Migrantes no puede ser Mayor al Total Ambos Sexos.",""))</f>
        <v/>
      </c>
      <c r="BB14" s="142" t="str">
        <f>IF(AND($B14&gt;0,OR($R14=""))," * No olvide digitar la variable Pueblos Originarios. Digite Cero si no tiene.",IF($R14&gt;$B14," * La variable Pueblos Originarios no puede ser Mayor al Total Ambos Sexos.",""))</f>
        <v/>
      </c>
      <c r="BI14" s="34">
        <f>IF(AND($B14&gt;0,OR($Q14="")),1,IF($Q14&gt;$B14,1,0))</f>
        <v>0</v>
      </c>
      <c r="BJ14" s="34">
        <f>IF(AND($B14&gt;0,OR($R14="")),1,IF($R14&gt;$B14,1,0))</f>
        <v>0</v>
      </c>
      <c r="BP14" s="7"/>
      <c r="BR14" s="7"/>
    </row>
    <row r="15" spans="1:78" ht="15" customHeight="1">
      <c r="A15" s="1598" t="s">
        <v>842</v>
      </c>
      <c r="B15" s="45">
        <f>SUM(C15:D15)</f>
        <v>0</v>
      </c>
      <c r="C15" s="1582">
        <f t="shared" si="1"/>
        <v>0</v>
      </c>
      <c r="D15" s="1583">
        <f t="shared" si="1"/>
        <v>0</v>
      </c>
      <c r="E15" s="50"/>
      <c r="F15" s="51"/>
      <c r="G15" s="50"/>
      <c r="H15" s="51"/>
      <c r="I15" s="50"/>
      <c r="J15" s="51"/>
      <c r="K15" s="50"/>
      <c r="L15" s="51"/>
      <c r="M15" s="50"/>
      <c r="N15" s="51"/>
      <c r="O15" s="50"/>
      <c r="P15" s="205"/>
      <c r="Q15" s="51"/>
      <c r="R15" s="51"/>
      <c r="S15" s="5" t="str">
        <f t="shared" si="2"/>
        <v/>
      </c>
      <c r="BA15" s="142" t="str">
        <f>IF(AND($B15&gt;0,OR($Q15=""))," * No olvide digitar la variable Migrantes. Digite Cero si no tiene.",IF($Q15&gt;$B15," * La variable Migrantes no puede ser Mayor al Total Ambos Sexos.",""))</f>
        <v/>
      </c>
      <c r="BB15" s="142" t="str">
        <f>IF(AND($B15&gt;0,OR($R15=""))," * No olvide digitar la variable Pueblos Originarios. Digite Cero si no tiene.",IF($R15&gt;$B15," * La variable Pueblos Originarios no puede ser Mayor al Total Ambos Sexos.",""))</f>
        <v/>
      </c>
      <c r="BI15" s="34">
        <f>IF(AND($B15&gt;0,OR($Q15="")),1,IF($Q15&gt;$B15,1,0))</f>
        <v>0</v>
      </c>
      <c r="BJ15" s="34">
        <f>IF(AND($B15&gt;0,OR($R15="")),1,IF($R15&gt;$B15,1,0))</f>
        <v>0</v>
      </c>
      <c r="BP15" s="7"/>
      <c r="BR15" s="7"/>
    </row>
    <row r="16" spans="1:78" ht="15" customHeight="1">
      <c r="A16" s="336" t="s">
        <v>830</v>
      </c>
      <c r="B16" s="78">
        <f>SUM(C16:D16)</f>
        <v>0</v>
      </c>
      <c r="C16" s="1584">
        <f>I16+K16+M16+O16</f>
        <v>0</v>
      </c>
      <c r="D16" s="1585">
        <f>+J16+L16+N16+P16</f>
        <v>0</v>
      </c>
      <c r="E16" s="1586"/>
      <c r="F16" s="1587"/>
      <c r="G16" s="1586"/>
      <c r="H16" s="1587"/>
      <c r="I16" s="81"/>
      <c r="J16" s="82"/>
      <c r="K16" s="81"/>
      <c r="L16" s="82"/>
      <c r="M16" s="81"/>
      <c r="N16" s="82"/>
      <c r="O16" s="81"/>
      <c r="P16" s="1588"/>
      <c r="Q16" s="82"/>
      <c r="R16" s="82"/>
      <c r="S16" s="5" t="str">
        <f t="shared" si="2"/>
        <v/>
      </c>
      <c r="BA16" s="142" t="str">
        <f>IF(AND($B16&gt;0,OR($Q16=""))," * No olvide digitar la variable Migrantes. Digite Cero si no tiene.",IF($Q16&gt;$B16," * La variable Migrantes no puede ser Mayor al Total Ambos Sexos.",""))</f>
        <v/>
      </c>
      <c r="BB16" s="142" t="str">
        <f>IF(AND($B16&gt;0,OR($R16=""))," * No olvide digitar la variable Pueblos Originarios. Digite Cero si no tiene.",IF($R16&gt;$B16," * La variable Pueblos Originarios no puede ser Mayor al Total Ambos Sexos.",""))</f>
        <v/>
      </c>
      <c r="BI16" s="34">
        <f>IF(AND($B16&gt;0,OR($Q16="")),1,IF($Q16&gt;$B16,1,0))</f>
        <v>0</v>
      </c>
      <c r="BJ16" s="34">
        <f>IF(AND($B16&gt;0,OR($R16="")),1,IF($R16&gt;$B16,1,0))</f>
        <v>0</v>
      </c>
      <c r="BP16" s="7"/>
      <c r="BR16" s="7"/>
      <c r="BW16" s="5"/>
    </row>
    <row r="17" spans="1:78" ht="17.149999999999999" customHeight="1">
      <c r="A17" s="1566" t="s">
        <v>831</v>
      </c>
      <c r="BW17" s="5"/>
      <c r="BX17" s="5"/>
    </row>
    <row r="18" spans="1:78" ht="17.149999999999999" customHeight="1">
      <c r="A18" s="2378" t="s">
        <v>832</v>
      </c>
      <c r="B18" s="2379" t="s">
        <v>5</v>
      </c>
      <c r="C18" s="2380"/>
      <c r="D18" s="2381"/>
      <c r="E18" s="2385" t="s">
        <v>354</v>
      </c>
      <c r="F18" s="2386"/>
      <c r="G18" s="2386"/>
      <c r="H18" s="2386"/>
      <c r="I18" s="2386"/>
      <c r="J18" s="2386"/>
      <c r="K18" s="2386"/>
      <c r="L18" s="2386"/>
      <c r="M18" s="2386"/>
      <c r="N18" s="2386"/>
      <c r="O18" s="2386"/>
      <c r="P18" s="2387"/>
      <c r="Q18" s="2388" t="s">
        <v>58</v>
      </c>
      <c r="R18" s="2391" t="s">
        <v>7</v>
      </c>
      <c r="S18" s="2375" t="s">
        <v>343</v>
      </c>
      <c r="T18" s="2375" t="s">
        <v>573</v>
      </c>
      <c r="Y18" s="346"/>
      <c r="AB18" s="346"/>
      <c r="BA18" s="2084" t="s">
        <v>58</v>
      </c>
      <c r="BB18" s="2084" t="s">
        <v>7</v>
      </c>
      <c r="BC18" s="2084" t="s">
        <v>780</v>
      </c>
      <c r="BD18" s="2084" t="s">
        <v>781</v>
      </c>
      <c r="BI18" s="2084" t="s">
        <v>58</v>
      </c>
      <c r="BJ18" s="2084" t="s">
        <v>7</v>
      </c>
      <c r="BK18" s="2084" t="s">
        <v>780</v>
      </c>
      <c r="BL18" s="2321" t="s">
        <v>781</v>
      </c>
      <c r="BW18" s="5"/>
      <c r="BX18" s="5"/>
    </row>
    <row r="19" spans="1:78" ht="17.149999999999999" customHeight="1">
      <c r="A19" s="2378"/>
      <c r="B19" s="2382"/>
      <c r="C19" s="2383"/>
      <c r="D19" s="2384"/>
      <c r="E19" s="2372" t="s">
        <v>824</v>
      </c>
      <c r="F19" s="2373"/>
      <c r="G19" s="2372" t="s">
        <v>825</v>
      </c>
      <c r="H19" s="2373"/>
      <c r="I19" s="2372" t="s">
        <v>826</v>
      </c>
      <c r="J19" s="2373"/>
      <c r="K19" s="2372" t="s">
        <v>13</v>
      </c>
      <c r="L19" s="2373"/>
      <c r="M19" s="2372" t="s">
        <v>827</v>
      </c>
      <c r="N19" s="2373"/>
      <c r="O19" s="2372" t="s">
        <v>828</v>
      </c>
      <c r="P19" s="2374"/>
      <c r="Q19" s="2389"/>
      <c r="R19" s="2392"/>
      <c r="S19" s="2376"/>
      <c r="T19" s="2376"/>
      <c r="BA19" s="1907"/>
      <c r="BB19" s="1907"/>
      <c r="BC19" s="1907"/>
      <c r="BD19" s="1907"/>
      <c r="BI19" s="1907"/>
      <c r="BJ19" s="1907"/>
      <c r="BK19" s="1907"/>
      <c r="BL19" s="2354"/>
      <c r="BW19" s="5"/>
      <c r="BX19" s="5"/>
    </row>
    <row r="20" spans="1:78" ht="17.149999999999999" customHeight="1">
      <c r="A20" s="2378"/>
      <c r="B20" s="1568" t="s">
        <v>178</v>
      </c>
      <c r="C20" s="1569" t="s">
        <v>726</v>
      </c>
      <c r="D20" s="1572" t="s">
        <v>41</v>
      </c>
      <c r="E20" s="1571" t="s">
        <v>726</v>
      </c>
      <c r="F20" s="1572" t="s">
        <v>41</v>
      </c>
      <c r="G20" s="1569" t="s">
        <v>726</v>
      </c>
      <c r="H20" s="1572" t="s">
        <v>41</v>
      </c>
      <c r="I20" s="1569" t="s">
        <v>726</v>
      </c>
      <c r="J20" s="1572" t="s">
        <v>41</v>
      </c>
      <c r="K20" s="1569" t="s">
        <v>726</v>
      </c>
      <c r="L20" s="1572" t="s">
        <v>41</v>
      </c>
      <c r="M20" s="1569" t="s">
        <v>726</v>
      </c>
      <c r="N20" s="1572" t="s">
        <v>41</v>
      </c>
      <c r="O20" s="1569" t="s">
        <v>726</v>
      </c>
      <c r="P20" s="1573" t="s">
        <v>41</v>
      </c>
      <c r="Q20" s="2390"/>
      <c r="R20" s="2393"/>
      <c r="S20" s="2377"/>
      <c r="T20" s="2377"/>
      <c r="BA20" s="1738"/>
      <c r="BB20" s="1738"/>
      <c r="BC20" s="1738"/>
      <c r="BD20" s="1738"/>
      <c r="BI20" s="1738"/>
      <c r="BJ20" s="1738"/>
      <c r="BK20" s="1738"/>
      <c r="BL20" s="1755"/>
      <c r="BW20" s="5"/>
      <c r="BX20" s="5"/>
      <c r="BY20" s="5"/>
    </row>
    <row r="21" spans="1:78" ht="15" customHeight="1">
      <c r="A21" s="860" t="s">
        <v>833</v>
      </c>
      <c r="B21" s="22">
        <f t="shared" ref="B21:B26" si="3">SUM(C21:D21)</f>
        <v>0</v>
      </c>
      <c r="C21" s="1580">
        <f>+I21+K21+M21+O21</f>
        <v>0</v>
      </c>
      <c r="D21" s="1581">
        <f>+J21+L21+N21+P21</f>
        <v>0</v>
      </c>
      <c r="E21" s="1589"/>
      <c r="F21" s="1590"/>
      <c r="G21" s="1589"/>
      <c r="H21" s="1590"/>
      <c r="I21" s="27"/>
      <c r="J21" s="23"/>
      <c r="K21" s="27"/>
      <c r="L21" s="23"/>
      <c r="M21" s="27"/>
      <c r="N21" s="23"/>
      <c r="O21" s="27"/>
      <c r="P21" s="159"/>
      <c r="Q21" s="28"/>
      <c r="R21" s="28"/>
      <c r="S21" s="28"/>
      <c r="T21" s="28"/>
      <c r="U21" s="5" t="str">
        <f>BA21&amp;BB21&amp;BC21&amp;BD21</f>
        <v/>
      </c>
      <c r="BA21" s="142" t="str">
        <f t="shared" ref="BA21:BA28" si="4">IF(AND($B21&gt;0,OR($Q21=""))," * No olvide digitar la variable Migrantes. Digite Cero si no tiene.",IF($Q21&gt;$B21," * La variable Migrantes no puede ser Mayor al Total Ambos Sexos.",""))</f>
        <v/>
      </c>
      <c r="BB21" s="142" t="str">
        <f t="shared" ref="BB21:BB28" si="5">IF(AND($B21&gt;0,OR($R21=""))," * No olvide digitar la variable Pueblos Originarios. Digite Cero si no tiene.",IF($R21&gt;$B21," * La variable Pueblos Originarios no puede ser Mayor al Total Ambos Sexos.",""))</f>
        <v/>
      </c>
      <c r="BC21" s="142" t="str">
        <f t="shared" ref="BC21:BC28" si="6">IF(AND($B21&gt;0,OR($S21=""))," * No olvide digitar la variable Niños, Niñas, Adolescentes y Jóvenes SENAME. Digite Cero si no tiene.",IF($S21&gt;$B21," * La variable Niños, Niñas, Adolescentes y Jóvenes SENAME no puede ser Mayor al Total Ambos Sexos.",""))</f>
        <v/>
      </c>
      <c r="BD21" s="142" t="str">
        <f t="shared" ref="BD21:BD28" si="7">IF(AND($B21&gt;0,OR($T21=""))," * No olvide digitar la variable Niños, Niñas, Adolescentes y Jóvenes Mejor Niñez. Digite Cero si no tiene.",IF($T21&gt;$B21," * La variable Niños, Niñas, Adolescentes y Jóvenes Mejor Niñez no puede ser Mayor al Total Ambos Sexos.",""))</f>
        <v/>
      </c>
      <c r="BI21" s="34">
        <f t="shared" ref="BI21:BI28" si="8">IF(AND($B21&gt;0,OR($Q21="")),1,IF($Q21&gt;$B21,1,0))</f>
        <v>0</v>
      </c>
      <c r="BJ21" s="34">
        <f t="shared" ref="BJ21:BL28" si="9">IF(AND($B21&gt;0,OR(R21="")),1,IF(R21&gt;$B21,1,0))</f>
        <v>0</v>
      </c>
      <c r="BK21" s="34">
        <f t="shared" si="9"/>
        <v>0</v>
      </c>
      <c r="BL21" s="34">
        <f t="shared" si="9"/>
        <v>0</v>
      </c>
      <c r="BP21" s="7"/>
      <c r="BR21" s="7"/>
      <c r="BT21" s="7"/>
      <c r="BW21" s="5"/>
      <c r="BX21" s="5"/>
    </row>
    <row r="22" spans="1:78" ht="15" customHeight="1">
      <c r="A22" s="1591" t="s">
        <v>834</v>
      </c>
      <c r="B22" s="69">
        <f t="shared" si="3"/>
        <v>0</v>
      </c>
      <c r="C22" s="1592">
        <f>+I22+K22+M22+O22</f>
        <v>0</v>
      </c>
      <c r="D22" s="1593">
        <f>+J22+L22+N22+P22</f>
        <v>0</v>
      </c>
      <c r="E22" s="1594"/>
      <c r="F22" s="1595"/>
      <c r="G22" s="1594"/>
      <c r="H22" s="1595"/>
      <c r="I22" s="57"/>
      <c r="J22" s="54"/>
      <c r="K22" s="57"/>
      <c r="L22" s="54"/>
      <c r="M22" s="57"/>
      <c r="N22" s="54"/>
      <c r="O22" s="57"/>
      <c r="P22" s="164"/>
      <c r="Q22" s="58"/>
      <c r="R22" s="58"/>
      <c r="S22" s="58"/>
      <c r="T22" s="58"/>
      <c r="U22" s="5" t="str">
        <f t="shared" ref="U22:U28" si="10">BA22&amp;BB22&amp;BC22&amp;BD22</f>
        <v/>
      </c>
      <c r="BA22" s="142" t="str">
        <f t="shared" si="4"/>
        <v/>
      </c>
      <c r="BB22" s="142" t="str">
        <f t="shared" si="5"/>
        <v/>
      </c>
      <c r="BC22" s="142" t="str">
        <f t="shared" si="6"/>
        <v/>
      </c>
      <c r="BD22" s="142" t="str">
        <f t="shared" si="7"/>
        <v/>
      </c>
      <c r="BI22" s="34">
        <f t="shared" si="8"/>
        <v>0</v>
      </c>
      <c r="BJ22" s="34">
        <f t="shared" si="9"/>
        <v>0</v>
      </c>
      <c r="BK22" s="34">
        <f t="shared" si="9"/>
        <v>0</v>
      </c>
      <c r="BL22" s="34">
        <f t="shared" si="9"/>
        <v>0</v>
      </c>
      <c r="BP22" s="7"/>
      <c r="BR22" s="7"/>
      <c r="BT22" s="7"/>
      <c r="BW22" s="5"/>
    </row>
    <row r="23" spans="1:78" ht="15" customHeight="1">
      <c r="A23" s="1591" t="s">
        <v>835</v>
      </c>
      <c r="B23" s="69">
        <f t="shared" si="3"/>
        <v>0</v>
      </c>
      <c r="C23" s="1592">
        <f>+E23+G23</f>
        <v>0</v>
      </c>
      <c r="D23" s="1593">
        <f>+F23+H23</f>
        <v>0</v>
      </c>
      <c r="E23" s="50"/>
      <c r="F23" s="46"/>
      <c r="G23" s="50"/>
      <c r="H23" s="46"/>
      <c r="I23" s="1594"/>
      <c r="J23" s="1595"/>
      <c r="K23" s="1594"/>
      <c r="L23" s="1595"/>
      <c r="M23" s="1594"/>
      <c r="N23" s="1595"/>
      <c r="O23" s="1594"/>
      <c r="P23" s="1596"/>
      <c r="Q23" s="58"/>
      <c r="R23" s="58"/>
      <c r="S23" s="58"/>
      <c r="T23" s="58"/>
      <c r="U23" s="5" t="str">
        <f t="shared" si="10"/>
        <v/>
      </c>
      <c r="BA23" s="142" t="str">
        <f t="shared" si="4"/>
        <v/>
      </c>
      <c r="BB23" s="142" t="str">
        <f t="shared" si="5"/>
        <v/>
      </c>
      <c r="BC23" s="142" t="str">
        <f t="shared" si="6"/>
        <v/>
      </c>
      <c r="BD23" s="142" t="str">
        <f t="shared" si="7"/>
        <v/>
      </c>
      <c r="BI23" s="34">
        <f t="shared" si="8"/>
        <v>0</v>
      </c>
      <c r="BJ23" s="34">
        <f t="shared" si="9"/>
        <v>0</v>
      </c>
      <c r="BK23" s="34">
        <f t="shared" si="9"/>
        <v>0</v>
      </c>
      <c r="BL23" s="34">
        <f t="shared" si="9"/>
        <v>0</v>
      </c>
      <c r="BP23" s="7"/>
      <c r="BR23" s="7"/>
      <c r="BT23" s="7"/>
      <c r="BW23" s="5"/>
    </row>
    <row r="24" spans="1:78" ht="21" customHeight="1">
      <c r="A24" s="1591" t="s">
        <v>836</v>
      </c>
      <c r="B24" s="69">
        <f t="shared" si="3"/>
        <v>0</v>
      </c>
      <c r="C24" s="1592">
        <f>+I24+K24+M24+O24</f>
        <v>0</v>
      </c>
      <c r="D24" s="1593">
        <f>+J24+L24+N24+P24</f>
        <v>0</v>
      </c>
      <c r="E24" s="1594"/>
      <c r="F24" s="1595"/>
      <c r="G24" s="1594"/>
      <c r="H24" s="1595"/>
      <c r="I24" s="57"/>
      <c r="J24" s="54"/>
      <c r="K24" s="57"/>
      <c r="L24" s="54"/>
      <c r="M24" s="57"/>
      <c r="N24" s="54"/>
      <c r="O24" s="57"/>
      <c r="P24" s="164"/>
      <c r="Q24" s="58"/>
      <c r="R24" s="58"/>
      <c r="S24" s="58"/>
      <c r="T24" s="58"/>
      <c r="U24" s="5" t="str">
        <f t="shared" si="10"/>
        <v/>
      </c>
      <c r="BA24" s="142" t="str">
        <f t="shared" si="4"/>
        <v/>
      </c>
      <c r="BB24" s="142" t="str">
        <f t="shared" si="5"/>
        <v/>
      </c>
      <c r="BC24" s="142" t="str">
        <f t="shared" si="6"/>
        <v/>
      </c>
      <c r="BD24" s="142" t="str">
        <f t="shared" si="7"/>
        <v/>
      </c>
      <c r="BI24" s="34">
        <f t="shared" si="8"/>
        <v>0</v>
      </c>
      <c r="BJ24" s="34">
        <f t="shared" si="9"/>
        <v>0</v>
      </c>
      <c r="BK24" s="34">
        <f t="shared" si="9"/>
        <v>0</v>
      </c>
      <c r="BL24" s="34">
        <f t="shared" si="9"/>
        <v>0</v>
      </c>
      <c r="BP24" s="7"/>
      <c r="BR24" s="7"/>
      <c r="BT24" s="7"/>
      <c r="BW24" s="5"/>
    </row>
    <row r="25" spans="1:78" ht="15" customHeight="1">
      <c r="A25" s="2442" t="s">
        <v>837</v>
      </c>
      <c r="B25" s="69">
        <f t="shared" si="3"/>
        <v>0</v>
      </c>
      <c r="C25" s="1592">
        <f>M25+O25</f>
        <v>0</v>
      </c>
      <c r="D25" s="1593">
        <f>N25+P25</f>
        <v>0</v>
      </c>
      <c r="E25" s="1594"/>
      <c r="F25" s="1597"/>
      <c r="G25" s="1594"/>
      <c r="H25" s="1597"/>
      <c r="I25" s="1594"/>
      <c r="J25" s="1595"/>
      <c r="K25" s="1594"/>
      <c r="L25" s="1595"/>
      <c r="M25" s="57"/>
      <c r="N25" s="54"/>
      <c r="O25" s="57"/>
      <c r="P25" s="164"/>
      <c r="Q25" s="58"/>
      <c r="R25" s="58"/>
      <c r="S25" s="58"/>
      <c r="T25" s="58"/>
      <c r="U25" s="5" t="str">
        <f t="shared" si="10"/>
        <v/>
      </c>
      <c r="BA25" s="142" t="str">
        <f t="shared" si="4"/>
        <v/>
      </c>
      <c r="BB25" s="142" t="str">
        <f t="shared" si="5"/>
        <v/>
      </c>
      <c r="BC25" s="142" t="str">
        <f t="shared" si="6"/>
        <v/>
      </c>
      <c r="BD25" s="142" t="str">
        <f t="shared" si="7"/>
        <v/>
      </c>
      <c r="BI25" s="34">
        <f t="shared" si="8"/>
        <v>0</v>
      </c>
      <c r="BJ25" s="34">
        <f t="shared" si="9"/>
        <v>0</v>
      </c>
      <c r="BK25" s="34">
        <f t="shared" si="9"/>
        <v>0</v>
      </c>
      <c r="BL25" s="34">
        <f t="shared" si="9"/>
        <v>0</v>
      </c>
      <c r="BP25" s="7"/>
      <c r="BR25" s="7"/>
      <c r="BT25" s="7"/>
      <c r="BW25" s="5"/>
    </row>
    <row r="26" spans="1:78" ht="15" customHeight="1">
      <c r="A26" s="1591" t="s">
        <v>838</v>
      </c>
      <c r="B26" s="69">
        <f t="shared" si="3"/>
        <v>0</v>
      </c>
      <c r="C26" s="1592">
        <f>+E26+G26+I26+K26+M26+O26</f>
        <v>0</v>
      </c>
      <c r="D26" s="1593">
        <f>+F26+H26+J26+L26+N26+P26</f>
        <v>0</v>
      </c>
      <c r="E26" s="57"/>
      <c r="F26" s="54"/>
      <c r="G26" s="57"/>
      <c r="H26" s="54"/>
      <c r="I26" s="57"/>
      <c r="J26" s="54"/>
      <c r="K26" s="57"/>
      <c r="L26" s="54"/>
      <c r="M26" s="57"/>
      <c r="N26" s="54"/>
      <c r="O26" s="57"/>
      <c r="P26" s="164"/>
      <c r="Q26" s="58"/>
      <c r="R26" s="58"/>
      <c r="S26" s="58"/>
      <c r="T26" s="58"/>
      <c r="U26" s="5" t="str">
        <f t="shared" si="10"/>
        <v/>
      </c>
      <c r="BA26" s="142" t="str">
        <f t="shared" si="4"/>
        <v/>
      </c>
      <c r="BB26" s="142" t="str">
        <f t="shared" si="5"/>
        <v/>
      </c>
      <c r="BC26" s="142" t="str">
        <f t="shared" si="6"/>
        <v/>
      </c>
      <c r="BD26" s="142" t="str">
        <f t="shared" si="7"/>
        <v/>
      </c>
      <c r="BI26" s="34">
        <f t="shared" si="8"/>
        <v>0</v>
      </c>
      <c r="BJ26" s="34">
        <f t="shared" si="9"/>
        <v>0</v>
      </c>
      <c r="BK26" s="34">
        <f t="shared" si="9"/>
        <v>0</v>
      </c>
      <c r="BL26" s="34">
        <f t="shared" si="9"/>
        <v>0</v>
      </c>
      <c r="BP26" s="7"/>
      <c r="BR26" s="7"/>
      <c r="BT26" s="7"/>
    </row>
    <row r="27" spans="1:78" ht="15" customHeight="1">
      <c r="A27" s="1591" t="s">
        <v>839</v>
      </c>
      <c r="B27" s="69">
        <f>SUM(C27:D27)</f>
        <v>0</v>
      </c>
      <c r="C27" s="1592">
        <f>+E27+G27+I27+K27+M27</f>
        <v>0</v>
      </c>
      <c r="D27" s="1593">
        <f>+F27+H27+J27+L27+N27</f>
        <v>0</v>
      </c>
      <c r="E27" s="57"/>
      <c r="F27" s="54"/>
      <c r="G27" s="57"/>
      <c r="H27" s="54"/>
      <c r="I27" s="57"/>
      <c r="J27" s="54"/>
      <c r="K27" s="57"/>
      <c r="L27" s="54"/>
      <c r="M27" s="57"/>
      <c r="N27" s="54"/>
      <c r="O27" s="870"/>
      <c r="P27" s="56"/>
      <c r="Q27" s="58"/>
      <c r="R27" s="58"/>
      <c r="S27" s="58"/>
      <c r="T27" s="175"/>
      <c r="U27" s="5" t="str">
        <f t="shared" si="10"/>
        <v/>
      </c>
      <c r="BA27" s="142" t="str">
        <f t="shared" si="4"/>
        <v/>
      </c>
      <c r="BB27" s="142" t="str">
        <f t="shared" si="5"/>
        <v/>
      </c>
      <c r="BC27" s="142" t="str">
        <f t="shared" si="6"/>
        <v/>
      </c>
      <c r="BD27" s="142" t="str">
        <f t="shared" si="7"/>
        <v/>
      </c>
      <c r="BI27" s="34">
        <f t="shared" si="8"/>
        <v>0</v>
      </c>
      <c r="BJ27" s="34">
        <f t="shared" si="9"/>
        <v>0</v>
      </c>
      <c r="BK27" s="34">
        <f t="shared" si="9"/>
        <v>0</v>
      </c>
      <c r="BL27" s="34">
        <f t="shared" si="9"/>
        <v>0</v>
      </c>
      <c r="BP27" s="7"/>
      <c r="BR27" s="7"/>
      <c r="BT27" s="7"/>
      <c r="BW27" s="5"/>
      <c r="BX27" s="5"/>
      <c r="BY27" s="5"/>
      <c r="BZ27" s="5"/>
    </row>
    <row r="28" spans="1:78" ht="15" customHeight="1">
      <c r="A28" s="2443" t="s">
        <v>840</v>
      </c>
      <c r="B28" s="36">
        <f t="shared" ref="B28" si="11">SUM(C28:D28)</f>
        <v>0</v>
      </c>
      <c r="C28" s="1575">
        <f>+E28+G28+I28+K28+M28+O28</f>
        <v>0</v>
      </c>
      <c r="D28" s="1576">
        <f>+F28+H28+J28+L28+N28+P28</f>
        <v>0</v>
      </c>
      <c r="E28" s="41"/>
      <c r="F28" s="37"/>
      <c r="G28" s="41"/>
      <c r="H28" s="37"/>
      <c r="I28" s="41"/>
      <c r="J28" s="37"/>
      <c r="K28" s="41"/>
      <c r="L28" s="37"/>
      <c r="M28" s="41"/>
      <c r="N28" s="37"/>
      <c r="O28" s="41"/>
      <c r="P28" s="211"/>
      <c r="Q28" s="42"/>
      <c r="R28" s="42"/>
      <c r="S28" s="42"/>
      <c r="T28" s="42"/>
      <c r="U28" s="5" t="str">
        <f t="shared" si="10"/>
        <v/>
      </c>
      <c r="BA28" s="142" t="str">
        <f t="shared" si="4"/>
        <v/>
      </c>
      <c r="BB28" s="142" t="str">
        <f t="shared" si="5"/>
        <v/>
      </c>
      <c r="BC28" s="142" t="str">
        <f t="shared" si="6"/>
        <v/>
      </c>
      <c r="BD28" s="142" t="str">
        <f t="shared" si="7"/>
        <v/>
      </c>
      <c r="BI28" s="34">
        <f t="shared" si="8"/>
        <v>0</v>
      </c>
      <c r="BJ28" s="34">
        <f t="shared" si="9"/>
        <v>0</v>
      </c>
      <c r="BK28" s="34">
        <f t="shared" si="9"/>
        <v>0</v>
      </c>
      <c r="BL28" s="34">
        <f t="shared" si="9"/>
        <v>0</v>
      </c>
    </row>
    <row r="41" spans="1:78" ht="13.25" hidden="1" customHeight="1">
      <c r="A41" s="1093">
        <f>SUM(B13:B16,B21:B28)</f>
        <v>0</v>
      </c>
      <c r="B41" s="383" t="s">
        <v>142</v>
      </c>
      <c r="BW41" s="5"/>
      <c r="BX41" s="5"/>
      <c r="BY41" s="5"/>
      <c r="BZ41" s="5"/>
    </row>
    <row r="42" spans="1:78" ht="13.25" hidden="1" customHeight="1">
      <c r="A42" s="1093">
        <f>SUM(BI13:BL28)</f>
        <v>0</v>
      </c>
      <c r="B42" s="383" t="s">
        <v>143</v>
      </c>
      <c r="BW42" s="5"/>
      <c r="BX42" s="5"/>
      <c r="BY42" s="5"/>
      <c r="BZ42" s="5"/>
    </row>
  </sheetData>
  <mergeCells count="41">
    <mergeCell ref="A7:R7"/>
    <mergeCell ref="A9:A11"/>
    <mergeCell ref="B9:D10"/>
    <mergeCell ref="E9:P9"/>
    <mergeCell ref="Q9:Q11"/>
    <mergeCell ref="R9:R11"/>
    <mergeCell ref="E10:F10"/>
    <mergeCell ref="G10:H10"/>
    <mergeCell ref="I10:J10"/>
    <mergeCell ref="K10:L10"/>
    <mergeCell ref="BI10:BI12"/>
    <mergeCell ref="BJ10:BJ12"/>
    <mergeCell ref="BK10:BK12"/>
    <mergeCell ref="BL10:BL12"/>
    <mergeCell ref="A18:A20"/>
    <mergeCell ref="B18:D19"/>
    <mergeCell ref="E18:P18"/>
    <mergeCell ref="Q18:Q20"/>
    <mergeCell ref="R18:R20"/>
    <mergeCell ref="S18:S20"/>
    <mergeCell ref="M10:N10"/>
    <mergeCell ref="O10:P10"/>
    <mergeCell ref="BA10:BA12"/>
    <mergeCell ref="BB10:BB12"/>
    <mergeCell ref="BC10:BC12"/>
    <mergeCell ref="BD10:BD12"/>
    <mergeCell ref="BJ18:BJ20"/>
    <mergeCell ref="BK18:BK20"/>
    <mergeCell ref="BL18:BL20"/>
    <mergeCell ref="E19:F19"/>
    <mergeCell ref="G19:H19"/>
    <mergeCell ref="I19:J19"/>
    <mergeCell ref="K19:L19"/>
    <mergeCell ref="M19:N19"/>
    <mergeCell ref="O19:P19"/>
    <mergeCell ref="T18:T20"/>
    <mergeCell ref="BA18:BA20"/>
    <mergeCell ref="BB18:BB20"/>
    <mergeCell ref="BC18:BC20"/>
    <mergeCell ref="BD18:BD20"/>
    <mergeCell ref="BI18:BI20"/>
  </mergeCells>
  <dataValidations count="3">
    <dataValidation type="whole" operator="greaterThanOrEqual" allowBlank="1" showInputMessage="1" showErrorMessage="1" sqref="E13:R16 E21:T28" xr:uid="{59995D47-1588-4B6A-8466-C201B0F9DBAF}">
      <formula1>0</formula1>
    </dataValidation>
    <dataValidation allowBlank="1" showInputMessage="1" showErrorMessage="1" errorTitle=" Error de ingreso" error="Debe ingresar sólo números enteros positivos." sqref="W9:AF9 Y18 AB18" xr:uid="{20281098-473B-491F-8B94-6F65E2A27B57}"/>
    <dataValidation allowBlank="1" showInputMessage="1" showErrorMessage="1" errorTitle="Error de ingreso" error="Debe ingresar sólo números enteros positivos." sqref="E29:T1048576 V16 CA29:CL1048576 W1:AF8 Y10:Y17 AB10:AB17 U1:V15 B8:D1048576 A26:A1048576 Q12:R12 S1:T17 CM1:XFD1048576 AC10:AF1048576 Z10:AA1048576 Y19:Y1048576 W10:X1048576 AB19:AB1048576 A17:A24 B1:R6 U17:V1048576 AG1:BZ1048576 CA1:CL9 A6:A12 A14 E8:P12 Q8:R8 E17:P20 Q17:R17" xr:uid="{AF30AC18-A8AC-4DA1-8957-EABACA9A47F3}"/>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3D67-B00B-4B7E-A24F-1373C79C5624}">
  <dimension ref="B2:F15"/>
  <sheetViews>
    <sheetView workbookViewId="0">
      <selection activeCell="I11" sqref="I11"/>
    </sheetView>
  </sheetViews>
  <sheetFormatPr baseColWidth="10" defaultRowHeight="14.5"/>
  <cols>
    <col min="2" max="2" width="33.6328125" bestFit="1" customWidth="1"/>
    <col min="3" max="3" width="13.36328125" bestFit="1" customWidth="1"/>
    <col min="4" max="4" width="16.54296875" customWidth="1"/>
    <col min="5" max="5" width="19.7265625" bestFit="1" customWidth="1"/>
    <col min="6" max="6" width="33.6328125" customWidth="1"/>
  </cols>
  <sheetData>
    <row r="2" spans="2:6" ht="15" thickBot="1"/>
    <row r="3" spans="2:6" ht="15" thickBot="1">
      <c r="C3" s="2397">
        <v>2025</v>
      </c>
      <c r="D3" s="2398"/>
    </row>
    <row r="4" spans="2:6" ht="15" thickBot="1">
      <c r="C4" s="1610" t="s">
        <v>844</v>
      </c>
      <c r="D4" s="1611" t="s">
        <v>856</v>
      </c>
      <c r="E4" s="1611" t="s">
        <v>859</v>
      </c>
      <c r="F4" s="1611" t="s">
        <v>860</v>
      </c>
    </row>
    <row r="5" spans="2:6">
      <c r="C5" s="1603" t="s">
        <v>845</v>
      </c>
      <c r="D5" s="1604" t="s">
        <v>857</v>
      </c>
      <c r="E5" s="1604" t="s">
        <v>857</v>
      </c>
      <c r="F5" s="1613"/>
    </row>
    <row r="6" spans="2:6">
      <c r="C6" s="1605" t="s">
        <v>846</v>
      </c>
      <c r="D6" s="1606" t="s">
        <v>857</v>
      </c>
      <c r="E6" s="1606" t="s">
        <v>857</v>
      </c>
      <c r="F6" s="1614"/>
    </row>
    <row r="7" spans="2:6">
      <c r="C7" s="1607" t="s">
        <v>847</v>
      </c>
      <c r="D7" s="1606" t="s">
        <v>857</v>
      </c>
      <c r="E7" s="1606" t="s">
        <v>857</v>
      </c>
      <c r="F7" s="1614"/>
    </row>
    <row r="8" spans="2:6">
      <c r="C8" s="1607" t="s">
        <v>848</v>
      </c>
      <c r="D8" s="1606" t="s">
        <v>857</v>
      </c>
      <c r="E8" s="1606" t="s">
        <v>857</v>
      </c>
      <c r="F8" s="1614"/>
    </row>
    <row r="9" spans="2:6">
      <c r="C9" s="1607" t="s">
        <v>849</v>
      </c>
      <c r="D9" s="1606" t="s">
        <v>857</v>
      </c>
      <c r="E9" s="1606" t="s">
        <v>857</v>
      </c>
      <c r="F9" s="1616" t="s">
        <v>857</v>
      </c>
    </row>
    <row r="10" spans="2:6">
      <c r="C10" s="1607" t="s">
        <v>850</v>
      </c>
      <c r="D10" s="1606" t="s">
        <v>857</v>
      </c>
      <c r="E10" s="1606" t="s">
        <v>857</v>
      </c>
      <c r="F10" s="1614"/>
    </row>
    <row r="11" spans="2:6">
      <c r="C11" s="1607" t="s">
        <v>851</v>
      </c>
      <c r="D11" s="1606" t="s">
        <v>857</v>
      </c>
      <c r="E11" s="1606" t="s">
        <v>857</v>
      </c>
      <c r="F11" s="1616" t="s">
        <v>857</v>
      </c>
    </row>
    <row r="12" spans="2:6">
      <c r="C12" s="1607" t="s">
        <v>852</v>
      </c>
      <c r="D12" s="1606" t="s">
        <v>857</v>
      </c>
      <c r="E12" s="1606" t="s">
        <v>857</v>
      </c>
      <c r="F12" s="1614"/>
    </row>
    <row r="13" spans="2:6">
      <c r="B13" s="1612"/>
      <c r="C13" s="1607" t="s">
        <v>853</v>
      </c>
      <c r="D13" s="1606" t="s">
        <v>857</v>
      </c>
      <c r="E13" s="1606" t="s">
        <v>857</v>
      </c>
      <c r="F13" s="1617" t="s">
        <v>858</v>
      </c>
    </row>
    <row r="14" spans="2:6">
      <c r="C14" s="1607" t="s">
        <v>854</v>
      </c>
      <c r="D14" s="1606" t="s">
        <v>857</v>
      </c>
      <c r="E14" s="1606" t="s">
        <v>857</v>
      </c>
      <c r="F14" s="1614"/>
    </row>
    <row r="15" spans="2:6" ht="15" thickBot="1">
      <c r="C15" s="1608" t="s">
        <v>855</v>
      </c>
      <c r="D15" s="1609" t="s">
        <v>857</v>
      </c>
      <c r="E15" s="1609" t="s">
        <v>857</v>
      </c>
      <c r="F15" s="1615"/>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P01</vt:lpstr>
      <vt:lpstr>P02</vt:lpstr>
      <vt:lpstr>P03</vt:lpstr>
      <vt:lpstr>P04</vt:lpstr>
      <vt:lpstr>P05</vt:lpstr>
      <vt:lpstr>P06</vt:lpstr>
      <vt:lpstr>P07</vt:lpstr>
      <vt:lpstr>P09</vt:lpstr>
      <vt:lpstr>P11</vt:lpstr>
      <vt:lpstr>P12</vt:lpstr>
      <vt:lpstr>P13</vt:lpstr>
      <vt:lpstr>Control Version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Cisternas</dc:creator>
  <cp:lastModifiedBy>Nicole Cisternas</cp:lastModifiedBy>
  <dcterms:created xsi:type="dcterms:W3CDTF">2025-03-14T01:52:11Z</dcterms:created>
  <dcterms:modified xsi:type="dcterms:W3CDTF">2025-03-24T15:40:49Z</dcterms:modified>
</cp:coreProperties>
</file>